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3d8ee4464122c15/Desktop/Analysis by claude/"/>
    </mc:Choice>
  </mc:AlternateContent>
  <xr:revisionPtr revIDLastSave="11" documentId="11_3D03D72EF461254208153EC453B510B39C421679" xr6:coauthVersionLast="47" xr6:coauthVersionMax="47" xr10:uidLastSave="{434781AE-3A7A-400F-A4CE-B5E72BBD5B98}"/>
  <bookViews>
    <workbookView xWindow="-110" yWindow="-110" windowWidth="19420" windowHeight="11500" tabRatio="500" xr2:uid="{00000000-000D-0000-FFFF-FFFF00000000}"/>
  </bookViews>
  <sheets>
    <sheet name="Cover" sheetId="1" r:id="rId1"/>
    <sheet name="Inputs" sheetId="2" r:id="rId2"/>
    <sheet name="Historical" sheetId="3" r:id="rId3"/>
    <sheet name="Projections" sheetId="4" r:id="rId4"/>
    <sheet name="WACC" sheetId="5" r:id="rId5"/>
    <sheet name="DCF" sheetId="6" r:id="rId6"/>
    <sheet name="Sensitivity" sheetId="7" r:id="rId7"/>
    <sheet name="Relative Val" sheetId="8" r:id="rId8"/>
    <sheet name="Summary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9" l="1"/>
  <c r="D15" i="9"/>
  <c r="C15" i="9"/>
  <c r="C5" i="9"/>
  <c r="E15" i="8"/>
  <c r="D15" i="8"/>
  <c r="C15" i="8"/>
  <c r="E14" i="8"/>
  <c r="D14" i="8"/>
  <c r="C14" i="8"/>
  <c r="E13" i="8"/>
  <c r="C27" i="8" s="1"/>
  <c r="D13" i="8"/>
  <c r="C13" i="8"/>
  <c r="E12" i="8"/>
  <c r="D12" i="8"/>
  <c r="C12" i="8"/>
  <c r="C17" i="7"/>
  <c r="C15" i="7"/>
  <c r="H4" i="7"/>
  <c r="G4" i="7"/>
  <c r="F4" i="7"/>
  <c r="E4" i="7"/>
  <c r="D4" i="7"/>
  <c r="C4" i="7"/>
  <c r="C21" i="6"/>
  <c r="C19" i="6"/>
  <c r="C17" i="6"/>
  <c r="C16" i="6"/>
  <c r="C15" i="6"/>
  <c r="C8" i="6"/>
  <c r="C15" i="5"/>
  <c r="C16" i="5" s="1"/>
  <c r="C11" i="5"/>
  <c r="C10" i="5"/>
  <c r="C12" i="5" s="1"/>
  <c r="C6" i="5"/>
  <c r="C5" i="5"/>
  <c r="C4" i="5"/>
  <c r="C7" i="5" s="1"/>
  <c r="M6" i="4"/>
  <c r="L6" i="4"/>
  <c r="K6" i="4"/>
  <c r="J6" i="4"/>
  <c r="I6" i="4"/>
  <c r="H6" i="4"/>
  <c r="G6" i="4"/>
  <c r="F6" i="4"/>
  <c r="E6" i="4"/>
  <c r="D6" i="4"/>
  <c r="C5" i="4"/>
  <c r="D5" i="4" s="1"/>
  <c r="G21" i="3"/>
  <c r="F21" i="3"/>
  <c r="E21" i="3"/>
  <c r="D21" i="3"/>
  <c r="C21" i="3"/>
  <c r="G20" i="3"/>
  <c r="F20" i="3"/>
  <c r="E20" i="3"/>
  <c r="D20" i="3"/>
  <c r="G8" i="3"/>
  <c r="C19" i="8" s="1"/>
  <c r="F8" i="3"/>
  <c r="F22" i="3" s="1"/>
  <c r="E8" i="3"/>
  <c r="E22" i="3" s="1"/>
  <c r="G6" i="3"/>
  <c r="F6" i="3"/>
  <c r="E6" i="3"/>
  <c r="D6" i="3"/>
  <c r="D8" i="3" s="1"/>
  <c r="D22" i="3" s="1"/>
  <c r="C6" i="3"/>
  <c r="C8" i="3" s="1"/>
  <c r="C22" i="3" s="1"/>
  <c r="C12" i="2"/>
  <c r="E14" i="9" l="1"/>
  <c r="D14" i="9"/>
  <c r="C14" i="9"/>
  <c r="D12" i="4"/>
  <c r="E5" i="4"/>
  <c r="D11" i="4"/>
  <c r="D13" i="4"/>
  <c r="C10" i="3"/>
  <c r="D10" i="3"/>
  <c r="E10" i="3"/>
  <c r="C17" i="5"/>
  <c r="F10" i="3"/>
  <c r="G10" i="3"/>
  <c r="G22" i="3"/>
  <c r="C24" i="8"/>
  <c r="C25" i="8" s="1"/>
  <c r="C26" i="8" s="1"/>
  <c r="E13" i="9" l="1"/>
  <c r="D13" i="9"/>
  <c r="C13" i="9"/>
  <c r="M17" i="4"/>
  <c r="L17" i="4"/>
  <c r="B5" i="7"/>
  <c r="K17" i="4"/>
  <c r="B8" i="7"/>
  <c r="J17" i="4"/>
  <c r="B11" i="7"/>
  <c r="I17" i="4"/>
  <c r="H17" i="4"/>
  <c r="G17" i="4"/>
  <c r="F17" i="4"/>
  <c r="B9" i="7"/>
  <c r="B6" i="7"/>
  <c r="C9" i="6"/>
  <c r="B10" i="7"/>
  <c r="B7" i="7"/>
  <c r="C14" i="7"/>
  <c r="E17" i="4"/>
  <c r="D17" i="4"/>
  <c r="E23" i="3"/>
  <c r="E12" i="3"/>
  <c r="D23" i="3"/>
  <c r="D12" i="3"/>
  <c r="C23" i="3"/>
  <c r="C12" i="3"/>
  <c r="E12" i="4"/>
  <c r="F5" i="4"/>
  <c r="E11" i="4"/>
  <c r="E13" i="4"/>
  <c r="G23" i="3"/>
  <c r="C7" i="4"/>
  <c r="C8" i="4" s="1"/>
  <c r="G12" i="3"/>
  <c r="F23" i="3"/>
  <c r="F12" i="3"/>
  <c r="F18" i="3" s="1"/>
  <c r="G14" i="3" l="1"/>
  <c r="G24" i="3"/>
  <c r="F8" i="4"/>
  <c r="E8" i="4"/>
  <c r="E7" i="4" s="1"/>
  <c r="D8" i="4"/>
  <c r="D7" i="4" s="1"/>
  <c r="H8" i="4"/>
  <c r="G8" i="4"/>
  <c r="M8" i="4"/>
  <c r="L8" i="4"/>
  <c r="K8" i="4"/>
  <c r="J8" i="4"/>
  <c r="I8" i="4"/>
  <c r="G18" i="3"/>
  <c r="C14" i="4" s="1"/>
  <c r="F12" i="4"/>
  <c r="G5" i="4"/>
  <c r="F11" i="4"/>
  <c r="F7" i="4"/>
  <c r="F13" i="4"/>
  <c r="F14" i="3"/>
  <c r="F25" i="3" s="1"/>
  <c r="F24" i="3"/>
  <c r="C24" i="3"/>
  <c r="C14" i="3"/>
  <c r="C25" i="3" s="1"/>
  <c r="C18" i="3"/>
  <c r="D24" i="3"/>
  <c r="D14" i="3"/>
  <c r="D25" i="3" s="1"/>
  <c r="D18" i="3"/>
  <c r="E14" i="3"/>
  <c r="E25" i="3" s="1"/>
  <c r="E24" i="3"/>
  <c r="E18" i="3"/>
  <c r="F9" i="4" l="1"/>
  <c r="F10" i="4" s="1"/>
  <c r="F14" i="4" s="1"/>
  <c r="G12" i="4"/>
  <c r="G11" i="4"/>
  <c r="G7" i="4"/>
  <c r="H5" i="4"/>
  <c r="G13" i="4"/>
  <c r="D9" i="4"/>
  <c r="D10" i="4" s="1"/>
  <c r="D14" i="4" s="1"/>
  <c r="E9" i="4"/>
  <c r="E10" i="4" s="1"/>
  <c r="E14" i="4" s="1"/>
  <c r="C18" i="8"/>
  <c r="C23" i="8" s="1"/>
  <c r="G25" i="3"/>
  <c r="E15" i="4" l="1"/>
  <c r="E18" i="4"/>
  <c r="D15" i="4"/>
  <c r="D18" i="4"/>
  <c r="F15" i="4"/>
  <c r="F18" i="4"/>
  <c r="G9" i="4"/>
  <c r="G10" i="4" s="1"/>
  <c r="G14" i="4" s="1"/>
  <c r="H12" i="4"/>
  <c r="H7" i="4"/>
  <c r="I5" i="4"/>
  <c r="H11" i="4"/>
  <c r="H13" i="4"/>
  <c r="C12" i="9"/>
  <c r="D12" i="9"/>
  <c r="C28" i="8"/>
  <c r="E12" i="9"/>
  <c r="G15" i="4" l="1"/>
  <c r="G18" i="4"/>
  <c r="I12" i="4"/>
  <c r="J5" i="4"/>
  <c r="I11" i="4"/>
  <c r="I7" i="4"/>
  <c r="I13" i="4"/>
  <c r="H9" i="4"/>
  <c r="H10" i="4" s="1"/>
  <c r="H14" i="4" s="1"/>
  <c r="H18" i="4" l="1"/>
  <c r="H15" i="4"/>
  <c r="J12" i="4"/>
  <c r="K5" i="4"/>
  <c r="J7" i="4"/>
  <c r="J11" i="4"/>
  <c r="J13" i="4"/>
  <c r="I9" i="4"/>
  <c r="I10" i="4" s="1"/>
  <c r="I14" i="4" s="1"/>
  <c r="I15" i="4" l="1"/>
  <c r="I18" i="4"/>
  <c r="J9" i="4"/>
  <c r="J10" i="4" s="1"/>
  <c r="J14" i="4" s="1"/>
  <c r="L5" i="4"/>
  <c r="K7" i="4"/>
  <c r="K12" i="4"/>
  <c r="K11" i="4"/>
  <c r="K13" i="4"/>
  <c r="J15" i="4" l="1"/>
  <c r="J18" i="4"/>
  <c r="K9" i="4"/>
  <c r="K10" i="4" s="1"/>
  <c r="K14" i="4" s="1"/>
  <c r="M5" i="4"/>
  <c r="L7" i="4"/>
  <c r="L13" i="4"/>
  <c r="L12" i="4"/>
  <c r="L11" i="4"/>
  <c r="M7" i="4" l="1"/>
  <c r="M12" i="4"/>
  <c r="M11" i="4"/>
  <c r="M13" i="4"/>
  <c r="L9" i="4"/>
  <c r="L10" i="4"/>
  <c r="L14" i="4" s="1"/>
  <c r="K18" i="4"/>
  <c r="K15" i="4"/>
  <c r="L18" i="4" l="1"/>
  <c r="L15" i="4"/>
  <c r="M9" i="4"/>
  <c r="M10" i="4" s="1"/>
  <c r="M14" i="4" s="1"/>
  <c r="C7" i="6" l="1"/>
  <c r="C10" i="6" s="1"/>
  <c r="C11" i="6" s="1"/>
  <c r="M18" i="4"/>
  <c r="C4" i="6" s="1"/>
  <c r="M15" i="4"/>
  <c r="F8" i="7"/>
  <c r="E5" i="7"/>
  <c r="F11" i="7"/>
  <c r="C11" i="7"/>
  <c r="H8" i="7"/>
  <c r="C8" i="7"/>
  <c r="H7" i="7"/>
  <c r="H6" i="7"/>
  <c r="D9" i="7"/>
  <c r="G11" i="7"/>
  <c r="C5" i="7"/>
  <c r="G6" i="7"/>
  <c r="D6" i="7"/>
  <c r="F10" i="7"/>
  <c r="H9" i="7"/>
  <c r="E11" i="7"/>
  <c r="H10" i="7"/>
  <c r="C9" i="7"/>
  <c r="F7" i="7"/>
  <c r="G8" i="7"/>
  <c r="C7" i="7"/>
  <c r="D5" i="7"/>
  <c r="H11" i="7"/>
  <c r="C10" i="7"/>
  <c r="E6" i="7"/>
  <c r="D8" i="7"/>
  <c r="F9" i="7"/>
  <c r="G7" i="7"/>
  <c r="D11" i="7"/>
  <c r="E9" i="7"/>
  <c r="D10" i="7"/>
  <c r="G5" i="7"/>
  <c r="G9" i="7"/>
  <c r="F5" i="7"/>
  <c r="E8" i="7"/>
  <c r="G10" i="7"/>
  <c r="D7" i="7"/>
  <c r="F6" i="7"/>
  <c r="H5" i="7"/>
  <c r="E10" i="7"/>
  <c r="C6" i="7"/>
  <c r="E7" i="7"/>
  <c r="C14" i="6" l="1"/>
  <c r="C18" i="6" s="1"/>
  <c r="C20" i="6" s="1"/>
  <c r="C22" i="6" s="1"/>
  <c r="E11" i="9"/>
  <c r="C11" i="9"/>
  <c r="C16" i="7" l="1"/>
  <c r="C6" i="9"/>
  <c r="C7" i="9" s="1"/>
  <c r="C22" i="9" s="1"/>
  <c r="D11" i="9"/>
</calcChain>
</file>

<file path=xl/sharedStrings.xml><?xml version="1.0" encoding="utf-8"?>
<sst xmlns="http://schemas.openxmlformats.org/spreadsheetml/2006/main" count="275" uniqueCount="257">
  <si>
    <t>INTRINSIC VALUE CALCULATOR</t>
  </si>
  <si>
    <t>Teaching Template — DCF + Relative Valuation</t>
  </si>
  <si>
    <t>Company Identification</t>
  </si>
  <si>
    <t>Company Name</t>
  </si>
  <si>
    <t>Sample Co. Ltd.</t>
  </si>
  <si>
    <t>Ticker / Symbol</t>
  </si>
  <si>
    <t>SAMPLE</t>
  </si>
  <si>
    <t>Exchange</t>
  </si>
  <si>
    <t>NSE / BSE</t>
  </si>
  <si>
    <t>Sector</t>
  </si>
  <si>
    <t>Industrials</t>
  </si>
  <si>
    <t>Currency Unit</t>
  </si>
  <si>
    <t>₹ Crore</t>
  </si>
  <si>
    <t>Valuation Date</t>
  </si>
  <si>
    <t>30-Apr-2026</t>
  </si>
  <si>
    <t>Analyst</t>
  </si>
  <si>
    <t>Prof. Parvesh Aghi</t>
  </si>
  <si>
    <t>Color Coding (Industry Standard)</t>
  </si>
  <si>
    <t>Blue text</t>
  </si>
  <si>
    <t>Hardcoded inputs / change for scenarios</t>
  </si>
  <si>
    <t>Black text</t>
  </si>
  <si>
    <t>Formulas and calculations</t>
  </si>
  <si>
    <t>Green text</t>
  </si>
  <si>
    <t>Links from another sheet in this workbook</t>
  </si>
  <si>
    <t>Yellow fill</t>
  </si>
  <si>
    <t>Key assumptions — change these</t>
  </si>
  <si>
    <t>How to Use This Template</t>
  </si>
  <si>
    <t>Step 1</t>
  </si>
  <si>
    <t>Enter the company's last 5 years of financials in the 'Historical' tab.</t>
  </si>
  <si>
    <t>Step 2</t>
  </si>
  <si>
    <t>Adjust assumptions on the 'Inputs' tab — growth rates, margins, WACC components, terminal growth.</t>
  </si>
  <si>
    <t>Step 3</t>
  </si>
  <si>
    <t>Review the 10-year projections on the 'Projections' tab — formulas auto-flow.</t>
  </si>
  <si>
    <t>Step 4</t>
  </si>
  <si>
    <t>Verify WACC calculation on the 'WACC' tab.</t>
  </si>
  <si>
    <t>Step 5</t>
  </si>
  <si>
    <t>The 'DCF' tab computes Enterprise Value, Equity Value and Intrinsic Value per Share.</t>
  </si>
  <si>
    <t>Step 6</t>
  </si>
  <si>
    <t>Stress-test on the 'Sensitivity' tab — WACC × Terminal Growth two-way table.</t>
  </si>
  <si>
    <t>Step 7</t>
  </si>
  <si>
    <t>Cross-check using peer multiples on the 'Relative Valuation' tab.</t>
  </si>
  <si>
    <t>Step 8</t>
  </si>
  <si>
    <t>Read the verdict on the 'Summary' tab — football-field comparison vs current price.</t>
  </si>
  <si>
    <t>Note: All values default to ₹ Crore. To use US$ million or any other unit, simply change the 'Currency Unit' label above — figures will be interpreted in that unit. All formulas are unit-agnostic.</t>
  </si>
  <si>
    <t>INPUTS &amp; ASSUMPTIONS</t>
  </si>
  <si>
    <t>Market Data</t>
  </si>
  <si>
    <t>Long-Term Operating Assumptions</t>
  </si>
  <si>
    <t>Current Market Price (per share, ₹)</t>
  </si>
  <si>
    <t>Y1 Revenue Growth</t>
  </si>
  <si>
    <t>Shares Outstanding (Cr / mn)</t>
  </si>
  <si>
    <t>Y2 Revenue Growth</t>
  </si>
  <si>
    <t>Total Debt (₹ Cr)</t>
  </si>
  <si>
    <t>Y3 Revenue Growth</t>
  </si>
  <si>
    <t>Cash &amp; Cash Equivalents (₹ Cr)</t>
  </si>
  <si>
    <t>Y4 Revenue Growth</t>
  </si>
  <si>
    <t>Minority Interest (₹ Cr)</t>
  </si>
  <si>
    <t>Y5 Revenue Growth</t>
  </si>
  <si>
    <t>52-Week High (₹)</t>
  </si>
  <si>
    <t>Y6 Revenue Growth</t>
  </si>
  <si>
    <t>52-Week Low (₹)</t>
  </si>
  <si>
    <t>Y7 Revenue Growth</t>
  </si>
  <si>
    <t>Market Capitalisation (Price × Shares)</t>
  </si>
  <si>
    <t>Y8 Revenue Growth</t>
  </si>
  <si>
    <t>Y9 Revenue Growth</t>
  </si>
  <si>
    <t>WACC Components</t>
  </si>
  <si>
    <t>Y10 Revenue Growth</t>
  </si>
  <si>
    <t>Risk-Free Rate (10-yr Govt Bond)</t>
  </si>
  <si>
    <t>Steady-state EBIT Margin</t>
  </si>
  <si>
    <t>Equity Risk Premium</t>
  </si>
  <si>
    <t>Capex as % of Revenue</t>
  </si>
  <si>
    <t>Beta (Levered)</t>
  </si>
  <si>
    <t>D&amp;A as % of Revenue</t>
  </si>
  <si>
    <t>Cost of Debt (Pre-Tax)</t>
  </si>
  <si>
    <t>Δ Working Capital as % of ΔRevenue</t>
  </si>
  <si>
    <t>Effective Tax Rate</t>
  </si>
  <si>
    <t>Target Debt / (Debt + Equity) Weight</t>
  </si>
  <si>
    <t>Terminal Value Inputs</t>
  </si>
  <si>
    <t>Terminal Growth Rate (g)</t>
  </si>
  <si>
    <t>Forecast Horizon (years, max 10)</t>
  </si>
  <si>
    <t>HISTORICAL FINANCIALS (Past 5 Years)</t>
  </si>
  <si>
    <t>Particulars</t>
  </si>
  <si>
    <t>FY-5</t>
  </si>
  <si>
    <t>FY-4</t>
  </si>
  <si>
    <t>FY-3</t>
  </si>
  <si>
    <t>FY-2</t>
  </si>
  <si>
    <t>FY-1 (Latest)</t>
  </si>
  <si>
    <t>Revenue</t>
  </si>
  <si>
    <t>Cost of Goods Sold</t>
  </si>
  <si>
    <t>Gross Profit</t>
  </si>
  <si>
    <t>Operating Expenses (SG&amp;A + R&amp;D)</t>
  </si>
  <si>
    <t>EBITDA</t>
  </si>
  <si>
    <t>Depreciation &amp; Amortization</t>
  </si>
  <si>
    <t>EBIT</t>
  </si>
  <si>
    <t>Interest Expense (net)</t>
  </si>
  <si>
    <t>Profit Before Tax</t>
  </si>
  <si>
    <t>Tax Expense</t>
  </si>
  <si>
    <t>Net Income (PAT)</t>
  </si>
  <si>
    <t>Capital Expenditure</t>
  </si>
  <si>
    <t>Change in Working Capital</t>
  </si>
  <si>
    <t>Free Cash Flow to Firm (FCFF)</t>
  </si>
  <si>
    <t>Revenue Growth %</t>
  </si>
  <si>
    <t>n/a</t>
  </si>
  <si>
    <t>Gross Margin %</t>
  </si>
  <si>
    <t>EBITDA Margin %</t>
  </si>
  <si>
    <t>EBIT Margin %</t>
  </si>
  <si>
    <t>Effective Tax Rate %</t>
  </si>
  <si>
    <t>Net Margin %</t>
  </si>
  <si>
    <t>10-YEAR PROJECTIONS (FCFF Build)</t>
  </si>
  <si>
    <t>FY0 (Base)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</si>
  <si>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</si>
  <si>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</si>
  <si>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</si>
  <si>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</si>
  <si>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</si>
  <si>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</si>
  <si>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</si>
  <si>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</si>
  <si>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</si>
  <si>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</si>
  <si>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Latest FY</t>
  </si>
  <si>
    <t>Forecast</t>
  </si>
  <si>
    <t xml:space="preserve">  Revenue Growth %</t>
  </si>
  <si>
    <t xml:space="preserve">  EBIT Margin %</t>
  </si>
  <si>
    <t>Tax on EBIT</t>
  </si>
  <si>
    <t>NOPAT (EBIT × (1-T))</t>
  </si>
  <si>
    <t>(+) Depreciation &amp; Amortization</t>
  </si>
  <si>
    <t>(–) Capital Expenditure</t>
  </si>
  <si>
    <t>(–) Change in Working Capital</t>
  </si>
  <si>
    <t xml:space="preserve">  FCFF Growth %</t>
  </si>
  <si>
    <t>Discount Period (mid-year? — using full year)</t>
  </si>
  <si>
    <t>Discount Factor</t>
  </si>
  <si>
    <t>PV of FCFF</t>
  </si>
  <si>
    <t>WEIGHTED AVERAGE COST OF CAPITAL (WACC)</t>
  </si>
  <si>
    <t>Cost of Equity (CAPM)</t>
  </si>
  <si>
    <t>Risk-Free Rate (Rf)</t>
  </si>
  <si>
    <t>Linked from Inputs — typically 10-yr govt bond yield.</t>
  </si>
  <si>
    <t>Equity Risk Premium (ERP)</t>
  </si>
  <si>
    <t>Market premium over Rf — 6–8% for India is typical.</t>
  </si>
  <si>
    <t>Beta (β)</t>
  </si>
  <si>
    <t>Levered beta from regression vs market index.</t>
  </si>
  <si>
    <t>Cost of Equity (Ke = Rf + β·ERP)</t>
  </si>
  <si>
    <t>CAPM: required return for equity holders.</t>
  </si>
  <si>
    <t>Cost of Debt</t>
  </si>
  <si>
    <t>Pre-Tax Cost of Debt (Kd)</t>
  </si>
  <si>
    <t>Effective borrowing cost — interest expense / avg debt.</t>
  </si>
  <si>
    <t>Effective Tax Rate (T)</t>
  </si>
  <si>
    <t>Marginal tax shield rate.</t>
  </si>
  <si>
    <t>After-Tax Cost of Debt = Kd × (1–T)</t>
  </si>
  <si>
    <t>Tax shield reduces effective debt cost.</t>
  </si>
  <si>
    <t>Capital Structure &amp; WACC</t>
  </si>
  <si>
    <t>Weight of Debt (Wd)</t>
  </si>
  <si>
    <t>Target debt weight from Inputs.</t>
  </si>
  <si>
    <t>Weight of Equity (We = 1 – Wd)</t>
  </si>
  <si>
    <t>Residual equity weight.</t>
  </si>
  <si>
    <t>WACC = We·Ke + Wd·Kd·(1–T)</t>
  </si>
  <si>
    <t>Discount rate for FCFF in DCF.</t>
  </si>
  <si>
    <t>DCF VALUATION</t>
  </si>
  <si>
    <t>Explicit Forecast Period (Y1–Y10)</t>
  </si>
  <si>
    <t>Sum of PV of FCFF (Y1 to Y10)</t>
  </si>
  <si>
    <t>Discounted free cash flow over the explicit horizon.</t>
  </si>
  <si>
    <t>Terminal Value (Gordon Growth)</t>
  </si>
  <si>
    <t>Terminal Year FCFF (Y10)</t>
  </si>
  <si>
    <t>Final explicit-year FCFF.</t>
  </si>
  <si>
    <t>Long-run sustainable growth — typically 2–4%.</t>
  </si>
  <si>
    <t>WACC</t>
  </si>
  <si>
    <t>Discount rate.</t>
  </si>
  <si>
    <t>Terminal Value at end of Y10  = FCFF₁₀·(1+g)/(WACC–g)</t>
  </si>
  <si>
    <t>Gordon Growth perpetuity at Y10.</t>
  </si>
  <si>
    <t>PV of Terminal Value</t>
  </si>
  <si>
    <t>Discounted to today.</t>
  </si>
  <si>
    <t>Enterprise → Equity → Per-Share Value</t>
  </si>
  <si>
    <t>Enterprise Value = Σ PV(FCFF) + PV(TV)</t>
  </si>
  <si>
    <t>Total value of operations.</t>
  </si>
  <si>
    <t>(+) Cash &amp; Cash Equivalents</t>
  </si>
  <si>
    <t>Non-operating cash.</t>
  </si>
  <si>
    <t>(–) Total Debt</t>
  </si>
  <si>
    <t>Interest-bearing liabilities.</t>
  </si>
  <si>
    <t>(–) Minority Interest</t>
  </si>
  <si>
    <t>Non-controlling interests.</t>
  </si>
  <si>
    <t>Equity Value</t>
  </si>
  <si>
    <t>Value attributable to common shareholders.</t>
  </si>
  <si>
    <t>Shares Outstanding</t>
  </si>
  <si>
    <t>Diluted shares.</t>
  </si>
  <si>
    <t>Intrinsic Value per Share</t>
  </si>
  <si>
    <t>Per-share fair value.</t>
  </si>
  <si>
    <t>Current Market Price</t>
  </si>
  <si>
    <t>Today's traded price.</t>
  </si>
  <si>
    <t>Upside / (Downside)</t>
  </si>
  <si>
    <t>Recommended action margin.</t>
  </si>
  <si>
    <t>SENSITIVITY ANALYSIS — Intrinsic Value per Share</t>
  </si>
  <si>
    <t>WACC ↓     g →</t>
  </si>
  <si>
    <t>Reference values</t>
  </si>
  <si>
    <t>Base WACC</t>
  </si>
  <si>
    <t>Base Terminal Growth</t>
  </si>
  <si>
    <t>Base Intrinsic Value per Share</t>
  </si>
  <si>
    <t>Read: rows = WACC (±3%), columns = terminal growth g (±2.5% from base). Cells show intrinsic value per share. Greener = higher. WACC must exceed g, else the cell shows N/A.</t>
  </si>
  <si>
    <t>RELATIVE VALUATION — Peer Multiples</t>
  </si>
  <si>
    <t>Peer (Ticker)</t>
  </si>
  <si>
    <t>P/E (x)</t>
  </si>
  <si>
    <t>EV/EBITDA (x)</t>
  </si>
  <si>
    <t>P/B (x)</t>
  </si>
  <si>
    <t>Notes</t>
  </si>
  <si>
    <t>Peer 1</t>
  </si>
  <si>
    <t>Largest comparable</t>
  </si>
  <si>
    <t>Peer 2</t>
  </si>
  <si>
    <t>Peer 3</t>
  </si>
  <si>
    <t>Peer 4</t>
  </si>
  <si>
    <t>Peer 5</t>
  </si>
  <si>
    <t>Smallest comparable</t>
  </si>
  <si>
    <t>Peer 6</t>
  </si>
  <si>
    <t>Mean</t>
  </si>
  <si>
    <t>Median</t>
  </si>
  <si>
    <t>Min</t>
  </si>
  <si>
    <t>Max</t>
  </si>
  <si>
    <t>Subject Company — Financial Inputs</t>
  </si>
  <si>
    <t>Latest EPS (= PAT / Shares)</t>
  </si>
  <si>
    <t>Computed from Historical.</t>
  </si>
  <si>
    <t>Latest EBITDA</t>
  </si>
  <si>
    <t>Linked from Historical.</t>
  </si>
  <si>
    <t>Book Value per Share (Equity / Shares) — input below</t>
  </si>
  <si>
    <t>Enter book value per share if available; needed for P/B.</t>
  </si>
  <si>
    <t>Implied Share Price (Median Multiples)</t>
  </si>
  <si>
    <t>P/E × EPS</t>
  </si>
  <si>
    <t>Median P/E × subject EPS.</t>
  </si>
  <si>
    <t>EV/EBITDA — implied EV</t>
  </si>
  <si>
    <t>Median EV/EBITDA × subject EBITDA.</t>
  </si>
  <si>
    <t>EV/EBITDA — implied Equity Value</t>
  </si>
  <si>
    <t>EV + Cash – Debt – Minority.</t>
  </si>
  <si>
    <t>EV/EBITDA — implied per share</t>
  </si>
  <si>
    <t>Equity Value ÷ Shares.</t>
  </si>
  <si>
    <t>P/B × Book Value per Share</t>
  </si>
  <si>
    <t>Median P/B × BVPS.</t>
  </si>
  <si>
    <t>Average of three methods</t>
  </si>
  <si>
    <t>Simple cross-check average.</t>
  </si>
  <si>
    <t>VALUATION SUMMARY &amp; FOOTBALL FIELD</t>
  </si>
  <si>
    <t>Headline Numbers</t>
  </si>
  <si>
    <t>From Inputs.</t>
  </si>
  <si>
    <t>DCF Intrinsic Value / Share</t>
  </si>
  <si>
    <t>From DCF tab.</t>
  </si>
  <si>
    <t>Upside / (Downside) vs Market</t>
  </si>
  <si>
    <t>DCF view.</t>
  </si>
  <si>
    <t>Football Field — Implied Share Price by Method</t>
  </si>
  <si>
    <t>Method</t>
  </si>
  <si>
    <t>Low</t>
  </si>
  <si>
    <t>Central</t>
  </si>
  <si>
    <t>High</t>
  </si>
  <si>
    <t>DCF (Sensitivity range)</t>
  </si>
  <si>
    <t>Relative Val — P/E (× EPS)</t>
  </si>
  <si>
    <t>Relative Val — EV/EBITDA</t>
  </si>
  <si>
    <t>Relative Val — P/B</t>
  </si>
  <si>
    <t>52-Week Trading Range</t>
  </si>
  <si>
    <t>Verdict (rule of thumb)</t>
  </si>
  <si>
    <t>If Upside &gt; +15% → BUY signal</t>
  </si>
  <si>
    <t>If Upside is between –10% and +15% → HOLD</t>
  </si>
  <si>
    <t>If Upside &lt; –10% → SELL / overvalued</t>
  </si>
  <si>
    <t>Current Verdict</t>
  </si>
  <si>
    <t>Methodology recap: (1) Project FCFF for 10 explicit years from Revenue × EBIT margin × (1–T) + D&amp;A – Capex – ΔWC. (2) Discount at WACC computed via CAPM and after-tax Kd. (3) Add a Gordon-growth terminal value capitalising Y10 FCFF at (WACC – g). (4) EV → Equity Value by adding cash and subtracting debt &amp; minority interest. (5) Cross-check with peer trading multiples. (6) Compare against 52-week range and current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</si>
</sst>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\-??_);_(@_)"/>
    <numFmt numFmtId="165" formatCode="0.0%;\(0.0%\);\-"/>
    <numFmt numFmtId="166" formatCode="0.00;\(0.00\);\-"/>
    <numFmt numFmtId="167" formatCode="#,##0;\(#,##0\);\-"/>
    <numFmt numFmtId="168" formatCode="0.00\x;\(0.00&quot;x)&quot;;\-"/>
  </numFmts>
  <fonts count="16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1"/>
      <color rgb="FF595959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sz val="10"/>
      <color rgb="FF008000"/>
      <name val="Arial"/>
      <charset val="1"/>
    </font>
    <font>
      <b/>
      <sz val="10"/>
      <color rgb="FF000000"/>
      <name val="Arial"/>
      <charset val="1"/>
    </font>
    <font>
      <b/>
      <sz val="10"/>
      <name val="Arial"/>
      <charset val="1"/>
    </font>
    <font>
      <i/>
      <sz val="9"/>
      <color rgb="FF595959"/>
      <name val="Arial"/>
      <charset val="1"/>
    </font>
    <font>
      <b/>
      <sz val="10"/>
      <color rgb="FFFFFFFF"/>
      <name val="Arial"/>
      <charset val="1"/>
    </font>
    <font>
      <b/>
      <sz val="10"/>
      <color rgb="FF008000"/>
      <name val="Arial"/>
      <charset val="1"/>
    </font>
    <font>
      <b/>
      <sz val="11"/>
      <color rgb="FF000000"/>
      <name val="Arial"/>
      <charset val="1"/>
    </font>
    <font>
      <b/>
      <sz val="10"/>
      <color rgb="FFC0392B"/>
      <name val="Arial"/>
      <charset val="1"/>
    </font>
    <font>
      <b/>
      <sz val="12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4A6FA5"/>
        <bgColor rgb="FF595959"/>
      </patternFill>
    </fill>
    <fill>
      <patternFill patternType="solid">
        <fgColor rgb="FFC5A55A"/>
        <bgColor rgb="FFBFBFB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6" fontId="5" fillId="3" borderId="1" xfId="0" applyNumberFormat="1" applyFont="1" applyFill="1" applyBorder="1" applyAlignment="1">
      <alignment horizontal="right" vertical="center"/>
    </xf>
    <xf numFmtId="167" fontId="5" fillId="3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0" fillId="5" borderId="1" xfId="0" applyFill="1" applyBorder="1"/>
    <xf numFmtId="0" fontId="11" fillId="5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0" fillId="0" borderId="1" xfId="0" applyBorder="1"/>
    <xf numFmtId="16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/>
    </xf>
    <xf numFmtId="165" fontId="13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9" fillId="0" borderId="0" xfId="0" applyFont="1"/>
    <xf numFmtId="168" fontId="5" fillId="3" borderId="1" xfId="0" applyNumberFormat="1" applyFont="1" applyFill="1" applyBorder="1" applyAlignment="1">
      <alignment horizontal="right" vertical="center"/>
    </xf>
    <xf numFmtId="0" fontId="9" fillId="0" borderId="1" xfId="0" applyFont="1" applyBorder="1"/>
    <xf numFmtId="168" fontId="8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164" fontId="12" fillId="6" borderId="1" xfId="0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0" xfId="0" applyFont="1"/>
    <xf numFmtId="0" fontId="10" fillId="4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0" borderId="0" xfId="0" applyFont="1"/>
    <xf numFmtId="0" fontId="10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595959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6FA5"/>
      <rgbColor rgb="FFC5A55A"/>
      <rgbColor rgb="FF003366"/>
      <rgbColor rgb="FF339966"/>
      <rgbColor rgb="FF003300"/>
      <rgbColor rgb="FF333300"/>
      <rgbColor rgb="FFC0392B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4"/>
  <sheetViews>
    <sheetView showGridLines="0" tabSelected="1" topLeftCell="A19" zoomScaleNormal="100" workbookViewId="0">
      <selection activeCell="C25" sqref="C25"/>
    </sheetView>
  </sheetViews>
  <sheetFormatPr defaultColWidth="8.6328125" defaultRowHeight="14.5" x14ac:dyDescent="0.35"/>
  <cols>
    <col min="1" max="1" width="2" customWidth="1"/>
    <col min="2" max="2" width="30" customWidth="1"/>
    <col min="3" max="3" width="57.36328125" customWidth="1"/>
    <col min="4" max="4" width="2" customWidth="1"/>
  </cols>
  <sheetData>
    <row r="2" spans="2:3" ht="21.75" customHeight="1" x14ac:dyDescent="0.35">
      <c r="B2" s="46" t="s">
        <v>0</v>
      </c>
      <c r="C2" s="46"/>
    </row>
    <row r="3" spans="2:3" ht="21.75" customHeight="1" x14ac:dyDescent="0.35">
      <c r="B3" s="46"/>
      <c r="C3" s="46"/>
    </row>
    <row r="4" spans="2:3" x14ac:dyDescent="0.35">
      <c r="B4" s="47" t="s">
        <v>1</v>
      </c>
      <c r="C4" s="47"/>
    </row>
    <row r="6" spans="2:3" ht="15" customHeight="1" x14ac:dyDescent="0.35">
      <c r="B6" s="43" t="s">
        <v>2</v>
      </c>
      <c r="C6" s="43"/>
    </row>
    <row r="7" spans="2:3" ht="18" customHeight="1" x14ac:dyDescent="0.35">
      <c r="B7" s="1" t="s">
        <v>3</v>
      </c>
      <c r="C7" s="2" t="s">
        <v>4</v>
      </c>
    </row>
    <row r="8" spans="2:3" ht="18" customHeight="1" x14ac:dyDescent="0.35">
      <c r="B8" s="1" t="s">
        <v>5</v>
      </c>
      <c r="C8" s="2" t="s">
        <v>6</v>
      </c>
    </row>
    <row r="9" spans="2:3" ht="18" customHeight="1" x14ac:dyDescent="0.35">
      <c r="B9" s="1" t="s">
        <v>7</v>
      </c>
      <c r="C9" s="2" t="s">
        <v>8</v>
      </c>
    </row>
    <row r="10" spans="2:3" ht="18" customHeight="1" x14ac:dyDescent="0.35">
      <c r="B10" s="1" t="s">
        <v>9</v>
      </c>
      <c r="C10" s="2" t="s">
        <v>10</v>
      </c>
    </row>
    <row r="11" spans="2:3" ht="18" customHeight="1" x14ac:dyDescent="0.35">
      <c r="B11" s="1" t="s">
        <v>11</v>
      </c>
      <c r="C11" s="2" t="s">
        <v>12</v>
      </c>
    </row>
    <row r="12" spans="2:3" ht="18" customHeight="1" x14ac:dyDescent="0.35">
      <c r="B12" s="1" t="s">
        <v>13</v>
      </c>
      <c r="C12" s="2" t="s">
        <v>14</v>
      </c>
    </row>
    <row r="13" spans="2:3" ht="18" customHeight="1" x14ac:dyDescent="0.35">
      <c r="B13" s="1" t="s">
        <v>15</v>
      </c>
      <c r="C13" s="2" t="s">
        <v>16</v>
      </c>
    </row>
    <row r="14" spans="2:3" ht="18" customHeight="1" x14ac:dyDescent="0.35"/>
    <row r="15" spans="2:3" ht="18" customHeight="1" x14ac:dyDescent="0.35"/>
    <row r="16" spans="2:3" ht="18" customHeight="1" x14ac:dyDescent="0.35">
      <c r="B16" s="43" t="s">
        <v>17</v>
      </c>
      <c r="C16" s="43"/>
    </row>
    <row r="17" spans="2:3" ht="18" customHeight="1" x14ac:dyDescent="0.35">
      <c r="B17" s="1" t="s">
        <v>18</v>
      </c>
      <c r="C17" s="3" t="s">
        <v>19</v>
      </c>
    </row>
    <row r="18" spans="2:3" ht="18" customHeight="1" x14ac:dyDescent="0.35">
      <c r="B18" s="1" t="s">
        <v>20</v>
      </c>
      <c r="C18" s="4" t="s">
        <v>21</v>
      </c>
    </row>
    <row r="19" spans="2:3" ht="18" customHeight="1" x14ac:dyDescent="0.35">
      <c r="B19" s="1" t="s">
        <v>22</v>
      </c>
      <c r="C19" s="5" t="s">
        <v>23</v>
      </c>
    </row>
    <row r="20" spans="2:3" ht="18" customHeight="1" x14ac:dyDescent="0.35">
      <c r="B20" s="1" t="s">
        <v>24</v>
      </c>
      <c r="C20" s="6" t="s">
        <v>25</v>
      </c>
    </row>
    <row r="21" spans="2:3" ht="18" customHeight="1" x14ac:dyDescent="0.35"/>
    <row r="22" spans="2:3" ht="18" customHeight="1" x14ac:dyDescent="0.35">
      <c r="B22" s="43" t="s">
        <v>26</v>
      </c>
      <c r="C22" s="43"/>
    </row>
    <row r="23" spans="2:3" ht="26.5" customHeight="1" x14ac:dyDescent="0.35">
      <c r="B23" s="7" t="s">
        <v>27</v>
      </c>
      <c r="C23" s="1" t="s">
        <v>28</v>
      </c>
    </row>
    <row r="24" spans="2:3" ht="34" customHeight="1" x14ac:dyDescent="0.35">
      <c r="B24" s="7" t="s">
        <v>29</v>
      </c>
      <c r="C24" s="1" t="s">
        <v>30</v>
      </c>
    </row>
    <row r="25" spans="2:3" ht="39.5" customHeight="1" x14ac:dyDescent="0.35">
      <c r="B25" s="7" t="s">
        <v>31</v>
      </c>
      <c r="C25" s="1" t="s">
        <v>32</v>
      </c>
    </row>
    <row r="26" spans="2:3" ht="33" customHeight="1" x14ac:dyDescent="0.35">
      <c r="B26" s="7" t="s">
        <v>33</v>
      </c>
      <c r="C26" s="1" t="s">
        <v>34</v>
      </c>
    </row>
    <row r="27" spans="2:3" ht="37.5" customHeight="1" x14ac:dyDescent="0.35">
      <c r="B27" s="7" t="s">
        <v>35</v>
      </c>
      <c r="C27" s="1" t="s">
        <v>36</v>
      </c>
    </row>
    <row r="28" spans="2:3" ht="38" customHeight="1" x14ac:dyDescent="0.35">
      <c r="B28" s="7" t="s">
        <v>37</v>
      </c>
      <c r="C28" s="1" t="s">
        <v>38</v>
      </c>
    </row>
    <row r="29" spans="2:3" ht="35" customHeight="1" x14ac:dyDescent="0.35">
      <c r="B29" s="7" t="s">
        <v>39</v>
      </c>
      <c r="C29" s="1" t="s">
        <v>40</v>
      </c>
    </row>
    <row r="30" spans="2:3" ht="25" customHeight="1" x14ac:dyDescent="0.35">
      <c r="B30" s="7" t="s">
        <v>41</v>
      </c>
      <c r="C30" s="1" t="s">
        <v>42</v>
      </c>
    </row>
    <row r="31" spans="2:3" ht="18" customHeight="1" x14ac:dyDescent="0.35"/>
    <row r="32" spans="2:3" ht="18" customHeight="1" x14ac:dyDescent="0.35"/>
    <row r="33" spans="2:3" ht="18" customHeight="1" x14ac:dyDescent="0.35">
      <c r="B33" s="45" t="s">
        <v>43</v>
      </c>
      <c r="C33" s="45"/>
    </row>
    <row r="34" spans="2:3" ht="18" customHeight="1" x14ac:dyDescent="0.35">
      <c r="B34" s="45"/>
      <c r="C34" s="45"/>
    </row>
  </sheetData>
  <mergeCells count="6">
    <mergeCell ref="B33:C34"/>
    <mergeCell ref="B2:C3"/>
    <mergeCell ref="B4:C4"/>
    <mergeCell ref="B6:C6"/>
    <mergeCell ref="B16:C16"/>
    <mergeCell ref="B22:C2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4"/>
  <sheetViews>
    <sheetView showGridLines="0" zoomScaleNormal="100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E17" sqref="E17"/>
    </sheetView>
  </sheetViews>
  <sheetFormatPr defaultColWidth="8.6328125" defaultRowHeight="14.5" x14ac:dyDescent="0.35"/>
  <cols>
    <col min="1" max="1" width="2" customWidth="1"/>
    <col min="2" max="2" width="38" customWidth="1"/>
    <col min="3" max="3" width="14" customWidth="1"/>
    <col min="4" max="4" width="38" customWidth="1"/>
    <col min="5" max="5" width="14" customWidth="1"/>
  </cols>
  <sheetData>
    <row r="2" spans="2:5" ht="25.5" customHeight="1" x14ac:dyDescent="0.35">
      <c r="B2" s="42" t="s">
        <v>44</v>
      </c>
      <c r="C2" s="42"/>
      <c r="D2" s="42"/>
      <c r="E2" s="42"/>
    </row>
    <row r="4" spans="2:5" ht="15" customHeight="1" x14ac:dyDescent="0.35">
      <c r="B4" s="43" t="s">
        <v>45</v>
      </c>
      <c r="C4" s="43"/>
      <c r="D4" s="43" t="s">
        <v>46</v>
      </c>
      <c r="E4" s="43"/>
    </row>
    <row r="5" spans="2:5" x14ac:dyDescent="0.35">
      <c r="B5" s="1" t="s">
        <v>47</v>
      </c>
      <c r="C5" s="8">
        <v>150</v>
      </c>
      <c r="D5" s="1" t="s">
        <v>48</v>
      </c>
      <c r="E5" s="9">
        <v>0.18</v>
      </c>
    </row>
    <row r="6" spans="2:5" x14ac:dyDescent="0.35">
      <c r="B6" s="1" t="s">
        <v>49</v>
      </c>
      <c r="C6" s="8">
        <v>30</v>
      </c>
      <c r="D6" s="1" t="s">
        <v>50</v>
      </c>
      <c r="E6" s="9">
        <v>0.16</v>
      </c>
    </row>
    <row r="7" spans="2:5" x14ac:dyDescent="0.35">
      <c r="B7" s="1" t="s">
        <v>51</v>
      </c>
      <c r="C7" s="8">
        <v>800</v>
      </c>
      <c r="D7" s="1" t="s">
        <v>52</v>
      </c>
      <c r="E7" s="9">
        <v>0.14000000000000001</v>
      </c>
    </row>
    <row r="8" spans="2:5" x14ac:dyDescent="0.35">
      <c r="B8" s="1" t="s">
        <v>53</v>
      </c>
      <c r="C8" s="8">
        <v>200</v>
      </c>
      <c r="D8" s="1" t="s">
        <v>54</v>
      </c>
      <c r="E8" s="9">
        <v>0.12</v>
      </c>
    </row>
    <row r="9" spans="2:5" x14ac:dyDescent="0.35">
      <c r="B9" s="1" t="s">
        <v>55</v>
      </c>
      <c r="C9" s="8">
        <v>0</v>
      </c>
      <c r="D9" s="1" t="s">
        <v>56</v>
      </c>
      <c r="E9" s="9">
        <v>0.1</v>
      </c>
    </row>
    <row r="10" spans="2:5" x14ac:dyDescent="0.35">
      <c r="B10" s="1" t="s">
        <v>57</v>
      </c>
      <c r="C10" s="8">
        <v>180</v>
      </c>
      <c r="D10" s="1" t="s">
        <v>58</v>
      </c>
      <c r="E10" s="9">
        <v>0.09</v>
      </c>
    </row>
    <row r="11" spans="2:5" x14ac:dyDescent="0.35">
      <c r="B11" s="1" t="s">
        <v>59</v>
      </c>
      <c r="C11" s="8">
        <v>110</v>
      </c>
      <c r="D11" s="1" t="s">
        <v>60</v>
      </c>
      <c r="E11" s="9">
        <v>0.08</v>
      </c>
    </row>
    <row r="12" spans="2:5" x14ac:dyDescent="0.35">
      <c r="B12" s="7" t="s">
        <v>61</v>
      </c>
      <c r="C12" s="10">
        <f>C5*C6</f>
        <v>4500</v>
      </c>
      <c r="D12" s="1" t="s">
        <v>62</v>
      </c>
      <c r="E12" s="9">
        <v>7.0000000000000007E-2</v>
      </c>
    </row>
    <row r="13" spans="2:5" x14ac:dyDescent="0.35">
      <c r="D13" s="1" t="s">
        <v>63</v>
      </c>
      <c r="E13" s="9">
        <v>0.06</v>
      </c>
    </row>
    <row r="14" spans="2:5" ht="15" customHeight="1" x14ac:dyDescent="0.35">
      <c r="B14" s="43" t="s">
        <v>64</v>
      </c>
      <c r="C14" s="43"/>
      <c r="D14" s="1" t="s">
        <v>65</v>
      </c>
      <c r="E14" s="9">
        <v>0.05</v>
      </c>
    </row>
    <row r="15" spans="2:5" x14ac:dyDescent="0.35">
      <c r="B15" s="1" t="s">
        <v>66</v>
      </c>
      <c r="C15" s="9">
        <v>7.0999999999999994E-2</v>
      </c>
      <c r="D15" s="1" t="s">
        <v>67</v>
      </c>
      <c r="E15" s="9">
        <v>0.18</v>
      </c>
    </row>
    <row r="16" spans="2:5" x14ac:dyDescent="0.35">
      <c r="B16" s="1" t="s">
        <v>68</v>
      </c>
      <c r="C16" s="9">
        <v>7.4999999999999997E-2</v>
      </c>
      <c r="D16" s="1" t="s">
        <v>69</v>
      </c>
      <c r="E16" s="9">
        <v>0.05</v>
      </c>
    </row>
    <row r="17" spans="2:5" x14ac:dyDescent="0.35">
      <c r="B17" s="1" t="s">
        <v>70</v>
      </c>
      <c r="C17" s="11">
        <v>1.1000000000000001</v>
      </c>
      <c r="D17" s="1" t="s">
        <v>71</v>
      </c>
      <c r="E17" s="9">
        <v>0.04</v>
      </c>
    </row>
    <row r="18" spans="2:5" x14ac:dyDescent="0.35">
      <c r="B18" s="1" t="s">
        <v>72</v>
      </c>
      <c r="C18" s="9">
        <v>0.09</v>
      </c>
      <c r="D18" s="1" t="s">
        <v>73</v>
      </c>
      <c r="E18" s="9">
        <v>0.1</v>
      </c>
    </row>
    <row r="19" spans="2:5" x14ac:dyDescent="0.35">
      <c r="B19" s="1" t="s">
        <v>74</v>
      </c>
      <c r="C19" s="9">
        <v>0.255</v>
      </c>
    </row>
    <row r="20" spans="2:5" x14ac:dyDescent="0.35">
      <c r="B20" s="1" t="s">
        <v>75</v>
      </c>
      <c r="C20" s="9">
        <v>0.3</v>
      </c>
    </row>
    <row r="22" spans="2:5" ht="15" customHeight="1" x14ac:dyDescent="0.35">
      <c r="B22" s="43" t="s">
        <v>76</v>
      </c>
      <c r="C22" s="43"/>
    </row>
    <row r="23" spans="2:5" x14ac:dyDescent="0.35">
      <c r="B23" s="1" t="s">
        <v>77</v>
      </c>
      <c r="C23" s="9">
        <v>0.04</v>
      </c>
    </row>
    <row r="24" spans="2:5" x14ac:dyDescent="0.35">
      <c r="B24" s="1" t="s">
        <v>78</v>
      </c>
      <c r="C24" s="12">
        <v>10</v>
      </c>
    </row>
  </sheetData>
  <mergeCells count="5">
    <mergeCell ref="B2:E2"/>
    <mergeCell ref="B4:C4"/>
    <mergeCell ref="D4:E4"/>
    <mergeCell ref="B14:C14"/>
    <mergeCell ref="B22:C2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5"/>
  <sheetViews>
    <sheetView showGridLines="0" zoomScaleNormal="100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defaultColWidth="8.6328125" defaultRowHeight="14.5" x14ac:dyDescent="0.35"/>
  <cols>
    <col min="1" max="1" width="2" customWidth="1"/>
    <col min="2" max="2" width="36" customWidth="1"/>
    <col min="3" max="8" width="13" customWidth="1"/>
  </cols>
  <sheetData>
    <row r="2" spans="2:8" ht="24" customHeight="1" x14ac:dyDescent="0.35">
      <c r="B2" s="42" t="s">
        <v>79</v>
      </c>
      <c r="C2" s="42"/>
      <c r="D2" s="42"/>
      <c r="E2" s="42"/>
      <c r="F2" s="42"/>
      <c r="G2" s="42"/>
      <c r="H2" s="42"/>
    </row>
    <row r="3" spans="2:8" x14ac:dyDescent="0.35">
      <c r="B3" s="13" t="s">
        <v>80</v>
      </c>
      <c r="C3" s="13" t="s">
        <v>81</v>
      </c>
      <c r="D3" s="13" t="s">
        <v>82</v>
      </c>
      <c r="E3" s="13" t="s">
        <v>83</v>
      </c>
      <c r="F3" s="13" t="s">
        <v>84</v>
      </c>
      <c r="G3" s="13" t="s">
        <v>85</v>
      </c>
    </row>
    <row r="4" spans="2:8" x14ac:dyDescent="0.35">
      <c r="B4" s="1" t="s">
        <v>86</v>
      </c>
      <c r="C4" s="8">
        <v>1500</v>
      </c>
      <c r="D4" s="8">
        <v>1700</v>
      </c>
      <c r="E4" s="8">
        <v>1950</v>
      </c>
      <c r="F4" s="8">
        <v>2200</v>
      </c>
      <c r="G4" s="8">
        <v>2500</v>
      </c>
    </row>
    <row r="5" spans="2:8" x14ac:dyDescent="0.35">
      <c r="B5" s="1" t="s">
        <v>87</v>
      </c>
      <c r="C5" s="8">
        <v>-900</v>
      </c>
      <c r="D5" s="8">
        <v>-1010</v>
      </c>
      <c r="E5" s="8">
        <v>-1150</v>
      </c>
      <c r="F5" s="8">
        <v>-1290</v>
      </c>
      <c r="G5" s="8">
        <v>-1450</v>
      </c>
    </row>
    <row r="6" spans="2:8" x14ac:dyDescent="0.35">
      <c r="B6" s="7" t="s">
        <v>88</v>
      </c>
      <c r="C6" s="10">
        <f>C4+C5</f>
        <v>600</v>
      </c>
      <c r="D6" s="10">
        <f>D4+D5</f>
        <v>690</v>
      </c>
      <c r="E6" s="10">
        <f>E4+E5</f>
        <v>800</v>
      </c>
      <c r="F6" s="10">
        <f>F4+F5</f>
        <v>910</v>
      </c>
      <c r="G6" s="10">
        <f>G4+G5</f>
        <v>1050</v>
      </c>
    </row>
    <row r="7" spans="2:8" x14ac:dyDescent="0.35">
      <c r="B7" s="1" t="s">
        <v>89</v>
      </c>
      <c r="C7" s="8">
        <v>-280</v>
      </c>
      <c r="D7" s="8">
        <v>-320</v>
      </c>
      <c r="E7" s="8">
        <v>-360</v>
      </c>
      <c r="F7" s="8">
        <v>-395</v>
      </c>
      <c r="G7" s="8">
        <v>-435</v>
      </c>
    </row>
    <row r="8" spans="2:8" x14ac:dyDescent="0.35">
      <c r="B8" s="7" t="s">
        <v>90</v>
      </c>
      <c r="C8" s="10">
        <f>C6+C7</f>
        <v>320</v>
      </c>
      <c r="D8" s="10">
        <f>D6+D7</f>
        <v>370</v>
      </c>
      <c r="E8" s="10">
        <f>E6+E7</f>
        <v>440</v>
      </c>
      <c r="F8" s="10">
        <f>F6+F7</f>
        <v>515</v>
      </c>
      <c r="G8" s="10">
        <f>G6+G7</f>
        <v>615</v>
      </c>
    </row>
    <row r="9" spans="2:8" x14ac:dyDescent="0.35">
      <c r="B9" s="1" t="s">
        <v>91</v>
      </c>
      <c r="C9" s="8">
        <v>-60</v>
      </c>
      <c r="D9" s="8">
        <v>-68</v>
      </c>
      <c r="E9" s="8">
        <v>-78</v>
      </c>
      <c r="F9" s="8">
        <v>-88</v>
      </c>
      <c r="G9" s="8">
        <v>-100</v>
      </c>
    </row>
    <row r="10" spans="2:8" x14ac:dyDescent="0.35">
      <c r="B10" s="7" t="s">
        <v>92</v>
      </c>
      <c r="C10" s="10">
        <f>C8+C9</f>
        <v>260</v>
      </c>
      <c r="D10" s="10">
        <f>D8+D9</f>
        <v>302</v>
      </c>
      <c r="E10" s="10">
        <f>E8+E9</f>
        <v>362</v>
      </c>
      <c r="F10" s="10">
        <f>F8+F9</f>
        <v>427</v>
      </c>
      <c r="G10" s="10">
        <f>G8+G9</f>
        <v>515</v>
      </c>
    </row>
    <row r="11" spans="2:8" x14ac:dyDescent="0.35">
      <c r="B11" s="1" t="s">
        <v>93</v>
      </c>
      <c r="C11" s="8">
        <v>-40</v>
      </c>
      <c r="D11" s="8">
        <v>-45</v>
      </c>
      <c r="E11" s="8">
        <v>-48</v>
      </c>
      <c r="F11" s="8">
        <v>-55</v>
      </c>
      <c r="G11" s="8">
        <v>-60</v>
      </c>
    </row>
    <row r="12" spans="2:8" x14ac:dyDescent="0.35">
      <c r="B12" s="7" t="s">
        <v>94</v>
      </c>
      <c r="C12" s="10">
        <f>C10+C11</f>
        <v>220</v>
      </c>
      <c r="D12" s="10">
        <f>D10+D11</f>
        <v>257</v>
      </c>
      <c r="E12" s="10">
        <f>E10+E11</f>
        <v>314</v>
      </c>
      <c r="F12" s="10">
        <f>F10+F11</f>
        <v>372</v>
      </c>
      <c r="G12" s="10">
        <f>G10+G11</f>
        <v>455</v>
      </c>
    </row>
    <row r="13" spans="2:8" x14ac:dyDescent="0.35">
      <c r="B13" s="1" t="s">
        <v>95</v>
      </c>
      <c r="C13" s="8">
        <v>-55</v>
      </c>
      <c r="D13" s="8">
        <v>-65</v>
      </c>
      <c r="E13" s="8">
        <v>-78</v>
      </c>
      <c r="F13" s="8">
        <v>-90</v>
      </c>
      <c r="G13" s="8">
        <v>-102</v>
      </c>
    </row>
    <row r="14" spans="2:8" x14ac:dyDescent="0.35">
      <c r="B14" s="7" t="s">
        <v>96</v>
      </c>
      <c r="C14" s="10">
        <f>C12+C13</f>
        <v>165</v>
      </c>
      <c r="D14" s="10">
        <f>D12+D13</f>
        <v>192</v>
      </c>
      <c r="E14" s="10">
        <f>E12+E13</f>
        <v>236</v>
      </c>
      <c r="F14" s="10">
        <f>F12+F13</f>
        <v>282</v>
      </c>
      <c r="G14" s="10">
        <f>G12+G13</f>
        <v>353</v>
      </c>
    </row>
    <row r="16" spans="2:8" x14ac:dyDescent="0.35">
      <c r="B16" s="1" t="s">
        <v>97</v>
      </c>
      <c r="C16" s="8">
        <v>-90</v>
      </c>
      <c r="D16" s="8">
        <v>-100</v>
      </c>
      <c r="E16" s="8">
        <v>-110</v>
      </c>
      <c r="F16" s="8">
        <v>-120</v>
      </c>
      <c r="G16" s="8">
        <v>-130</v>
      </c>
    </row>
    <row r="17" spans="2:7" x14ac:dyDescent="0.35">
      <c r="B17" s="1" t="s">
        <v>98</v>
      </c>
      <c r="C17" s="8">
        <v>-15</v>
      </c>
      <c r="D17" s="8">
        <v>-18</v>
      </c>
      <c r="E17" s="8">
        <v>-22</v>
      </c>
      <c r="F17" s="8">
        <v>-27</v>
      </c>
      <c r="G17" s="8">
        <v>-30</v>
      </c>
    </row>
    <row r="18" spans="2:7" x14ac:dyDescent="0.35">
      <c r="B18" s="7" t="s">
        <v>99</v>
      </c>
      <c r="C18" s="10">
        <f>C10*(1-IFERROR(-C13/C12,0))-C9+C16+C17</f>
        <v>150</v>
      </c>
      <c r="D18" s="10">
        <f>D10*(1-IFERROR(-D13/D12,0))-D9+D16+D17</f>
        <v>175.61867704280155</v>
      </c>
      <c r="E18" s="10">
        <f>E10*(1-IFERROR(-E13/E12,0))-E9+E16+E17</f>
        <v>218.07643312101914</v>
      </c>
      <c r="F18" s="10">
        <f>F10*(1-IFERROR(-F13/F12,0))-F9+F16+F17</f>
        <v>264.69354838709677</v>
      </c>
      <c r="G18" s="10">
        <f>G10*(1-IFERROR(-G13/G12,0))-G9+G16+G17</f>
        <v>339.54945054945057</v>
      </c>
    </row>
    <row r="20" spans="2:7" x14ac:dyDescent="0.35">
      <c r="B20" s="1" t="s">
        <v>100</v>
      </c>
      <c r="C20" s="14" t="s">
        <v>101</v>
      </c>
      <c r="D20" s="15">
        <f>IFERROR(D4/C4-1,0)</f>
        <v>0.1333333333333333</v>
      </c>
      <c r="E20" s="15">
        <f>IFERROR(E4/D4-1,0)</f>
        <v>0.14705882352941169</v>
      </c>
      <c r="F20" s="15">
        <f>IFERROR(F4/E4-1,0)</f>
        <v>0.12820512820512819</v>
      </c>
      <c r="G20" s="15">
        <f>IFERROR(G4/F4-1,0)</f>
        <v>0.13636363636363646</v>
      </c>
    </row>
    <row r="21" spans="2:7" x14ac:dyDescent="0.35">
      <c r="B21" s="1" t="s">
        <v>102</v>
      </c>
      <c r="C21" s="15">
        <f>IFERROR(C6/C4,0)</f>
        <v>0.4</v>
      </c>
      <c r="D21" s="15">
        <f>IFERROR(D6/D4,0)</f>
        <v>0.40588235294117647</v>
      </c>
      <c r="E21" s="15">
        <f>IFERROR(E6/E4,0)</f>
        <v>0.41025641025641024</v>
      </c>
      <c r="F21" s="15">
        <f>IFERROR(F6/F4,0)</f>
        <v>0.41363636363636364</v>
      </c>
      <c r="G21" s="15">
        <f>IFERROR(G6/G4,0)</f>
        <v>0.42</v>
      </c>
    </row>
    <row r="22" spans="2:7" x14ac:dyDescent="0.35">
      <c r="B22" s="1" t="s">
        <v>103</v>
      </c>
      <c r="C22" s="15">
        <f>IFERROR(C8/C4,0)</f>
        <v>0.21333333333333335</v>
      </c>
      <c r="D22" s="15">
        <f>IFERROR(D8/D4,0)</f>
        <v>0.21764705882352942</v>
      </c>
      <c r="E22" s="15">
        <f>IFERROR(E8/E4,0)</f>
        <v>0.22564102564102564</v>
      </c>
      <c r="F22" s="15">
        <f>IFERROR(F8/F4,0)</f>
        <v>0.2340909090909091</v>
      </c>
      <c r="G22" s="15">
        <f>IFERROR(G8/G4,0)</f>
        <v>0.246</v>
      </c>
    </row>
    <row r="23" spans="2:7" x14ac:dyDescent="0.35">
      <c r="B23" s="1" t="s">
        <v>104</v>
      </c>
      <c r="C23" s="15">
        <f>IFERROR(C10/C4,0)</f>
        <v>0.17333333333333334</v>
      </c>
      <c r="D23" s="15">
        <f>IFERROR(D10/D4,0)</f>
        <v>0.17764705882352941</v>
      </c>
      <c r="E23" s="15">
        <f>IFERROR(E10/E4,0)</f>
        <v>0.18564102564102564</v>
      </c>
      <c r="F23" s="15">
        <f>IFERROR(F10/F4,0)</f>
        <v>0.19409090909090909</v>
      </c>
      <c r="G23" s="15">
        <f>IFERROR(G10/G4,0)</f>
        <v>0.20599999999999999</v>
      </c>
    </row>
    <row r="24" spans="2:7" x14ac:dyDescent="0.35">
      <c r="B24" s="1" t="s">
        <v>105</v>
      </c>
      <c r="C24" s="15">
        <f>IFERROR(-C13/C12,0)</f>
        <v>0.25</v>
      </c>
      <c r="D24" s="15">
        <f>IFERROR(-D13/D12,0)</f>
        <v>0.25291828793774318</v>
      </c>
      <c r="E24" s="15">
        <f>IFERROR(-E13/E12,0)</f>
        <v>0.24840764331210191</v>
      </c>
      <c r="F24" s="15">
        <f>IFERROR(-F13/F12,0)</f>
        <v>0.24193548387096775</v>
      </c>
      <c r="G24" s="15">
        <f>IFERROR(-G13/G12,0)</f>
        <v>0.22417582417582418</v>
      </c>
    </row>
    <row r="25" spans="2:7" x14ac:dyDescent="0.35">
      <c r="B25" s="1" t="s">
        <v>106</v>
      </c>
      <c r="C25" s="15">
        <f>IFERROR(C14/C4,0)</f>
        <v>0.11</v>
      </c>
      <c r="D25" s="15">
        <f>IFERROR(D14/D4,0)</f>
        <v>0.11294117647058824</v>
      </c>
      <c r="E25" s="15">
        <f>IFERROR(E14/E4,0)</f>
        <v>0.12102564102564102</v>
      </c>
      <c r="F25" s="15">
        <f>IFERROR(F14/F4,0)</f>
        <v>0.12818181818181817</v>
      </c>
      <c r="G25" s="15">
        <f>IFERROR(G14/G4,0)</f>
        <v>0.14119999999999999</v>
      </c>
    </row>
  </sheetData>
  <mergeCells count="1">
    <mergeCell ref="B2:H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18"/>
  <sheetViews>
    <sheetView showGridLines="0"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D18" sqref="D18:M18"/>
    </sheetView>
  </sheetViews>
  <sheetFormatPr defaultColWidth="8.6328125" defaultRowHeight="14.5" x14ac:dyDescent="0.35"/>
  <cols>
    <col min="1" max="1" width="2" customWidth="1"/>
    <col min="2" max="2" width="36" customWidth="1"/>
    <col min="3" max="13" width="12" customWidth="1"/>
  </cols>
  <sheetData>
    <row r="2" spans="2:13" ht="24" customHeight="1" x14ac:dyDescent="0.35">
      <c r="B2" s="42" t="s">
        <v>107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3" x14ac:dyDescent="0.35">
      <c r="B3" s="13" t="s">
        <v>80</v>
      </c>
      <c r="C3" s="13" t="s">
        <v>108</v>
      </c>
      <c r="D3" s="13" t="s">
        <v>109</v>
      </c>
      <c r="E3" s="13" t="s">
        <v>110</v>
      </c>
      <c r="F3" s="13" t="s">
        <v>111</v>
      </c>
      <c r="G3" s="13" t="s">
        <v>112</v>
      </c>
      <c r="H3" s="13" t="s">
        <v>113</v>
      </c>
      <c r="I3" s="13" t="s">
        <v>114</v>
      </c>
      <c r="J3" s="13" t="s">
        <v>115</v>
      </c>
      <c r="K3" s="13" t="s">
        <v>116</v>
      </c>
      <c r="L3" s="13" t="s">
        <v>117</v>
      </c>
      <c r="M3" s="13" t="s">
        <v>118</v>
      </c>
    </row>
    <row r="4" spans="2:13" x14ac:dyDescent="0.35">
      <c r="B4" s="16"/>
      <c r="C4" s="17" t="s">
        <v>119</v>
      </c>
      <c r="D4" s="17" t="s">
        <v>120</v>
      </c>
      <c r="E4" s="17" t="s">
        <v>120</v>
      </c>
      <c r="F4" s="17" t="s">
        <v>120</v>
      </c>
      <c r="G4" s="17" t="s">
        <v>120</v>
      </c>
      <c r="H4" s="17" t="s">
        <v>120</v>
      </c>
      <c r="I4" s="17" t="s">
        <v>120</v>
      </c>
      <c r="J4" s="17" t="s">
        <v>120</v>
      </c>
      <c r="K4" s="17" t="s">
        <v>120</v>
      </c>
      <c r="L4" s="17" t="s">
        <v>120</v>
      </c>
      <c r="M4" s="17" t="s">
        <v>120</v>
      </c>
    </row>
    <row r="5" spans="2:13" x14ac:dyDescent="0.35">
      <c r="B5" s="7" t="s">
        <v>86</v>
      </c>
      <c r="C5" s="18">
        <f>Historical!G4</f>
        <v>2500</v>
      </c>
      <c r="D5" s="10">
        <f t="shared" ref="D5:M5" si="0">C5*(1+D6)</f>
        <v>2950</v>
      </c>
      <c r="E5" s="10">
        <f t="shared" si="0"/>
        <v>3421.9999999999995</v>
      </c>
      <c r="F5" s="10">
        <f t="shared" si="0"/>
        <v>3901.08</v>
      </c>
      <c r="G5" s="10">
        <f t="shared" si="0"/>
        <v>4369.2096000000001</v>
      </c>
      <c r="H5" s="10">
        <f t="shared" si="0"/>
        <v>4806.1305600000005</v>
      </c>
      <c r="I5" s="10">
        <f t="shared" si="0"/>
        <v>5238.6823104000014</v>
      </c>
      <c r="J5" s="10">
        <f t="shared" si="0"/>
        <v>5657.7768952320021</v>
      </c>
      <c r="K5" s="10">
        <f t="shared" si="0"/>
        <v>6053.8212778982424</v>
      </c>
      <c r="L5" s="10">
        <f t="shared" si="0"/>
        <v>6417.0505545721371</v>
      </c>
      <c r="M5" s="10">
        <f t="shared" si="0"/>
        <v>6737.9030823007442</v>
      </c>
    </row>
    <row r="6" spans="2:13" x14ac:dyDescent="0.35">
      <c r="B6" s="1" t="s">
        <v>121</v>
      </c>
      <c r="C6" s="14" t="s">
        <v>101</v>
      </c>
      <c r="D6" s="19">
        <f>Inputs!$E$5</f>
        <v>0.18</v>
      </c>
      <c r="E6" s="19">
        <f>Inputs!$E$6</f>
        <v>0.16</v>
      </c>
      <c r="F6" s="19">
        <f>Inputs!$E$7</f>
        <v>0.14000000000000001</v>
      </c>
      <c r="G6" s="19">
        <f>Inputs!$E$8</f>
        <v>0.12</v>
      </c>
      <c r="H6" s="19">
        <f>Inputs!$E$9</f>
        <v>0.1</v>
      </c>
      <c r="I6" s="19">
        <f>Inputs!$E$10</f>
        <v>0.09</v>
      </c>
      <c r="J6" s="19">
        <f>Inputs!$E$11</f>
        <v>0.08</v>
      </c>
      <c r="K6" s="19">
        <f>Inputs!$E$12</f>
        <v>7.0000000000000007E-2</v>
      </c>
      <c r="L6" s="19">
        <f>Inputs!$E$13</f>
        <v>0.06</v>
      </c>
      <c r="M6" s="19">
        <f>Inputs!$E$14</f>
        <v>0.05</v>
      </c>
    </row>
    <row r="7" spans="2:13" x14ac:dyDescent="0.35">
      <c r="B7" s="7" t="s">
        <v>92</v>
      </c>
      <c r="C7" s="18">
        <f>Historical!G10</f>
        <v>515</v>
      </c>
      <c r="D7" s="10">
        <f t="shared" ref="D7:M7" si="1">D5*D8</f>
        <v>600.03</v>
      </c>
      <c r="E7" s="10">
        <f t="shared" si="1"/>
        <v>687.13759999999979</v>
      </c>
      <c r="F7" s="10">
        <f t="shared" si="1"/>
        <v>773.19405599999993</v>
      </c>
      <c r="G7" s="10">
        <f t="shared" si="1"/>
        <v>854.61739776000002</v>
      </c>
      <c r="H7" s="10">
        <f t="shared" si="1"/>
        <v>927.5831980800001</v>
      </c>
      <c r="I7" s="10">
        <f t="shared" si="1"/>
        <v>997.44511190016021</v>
      </c>
      <c r="J7" s="10">
        <f t="shared" si="1"/>
        <v>1062.5305009245699</v>
      </c>
      <c r="K7" s="10">
        <f t="shared" si="1"/>
        <v>1121.1677006667544</v>
      </c>
      <c r="L7" s="10">
        <f t="shared" si="1"/>
        <v>1171.7534312648722</v>
      </c>
      <c r="M7" s="10">
        <f t="shared" si="1"/>
        <v>1212.8225548141338</v>
      </c>
    </row>
    <row r="8" spans="2:13" x14ac:dyDescent="0.35">
      <c r="B8" s="1" t="s">
        <v>122</v>
      </c>
      <c r="C8" s="15">
        <f>IFERROR(C7/C5,0)</f>
        <v>0.20599999999999999</v>
      </c>
      <c r="D8" s="15">
        <f>C8+(Inputs!$E$15-C8)*(1/10)</f>
        <v>0.2034</v>
      </c>
      <c r="E8" s="15">
        <f>C8+(Inputs!$E$15-C8)*(2/10)</f>
        <v>0.20079999999999998</v>
      </c>
      <c r="F8" s="15">
        <f>C8+(Inputs!$E$15-C8)*(3/10)</f>
        <v>0.19819999999999999</v>
      </c>
      <c r="G8" s="15">
        <f>C8+(Inputs!$E$15-C8)*(4/10)</f>
        <v>0.1956</v>
      </c>
      <c r="H8" s="15">
        <f>C8+(Inputs!$E$15-C8)*(5/10)</f>
        <v>0.193</v>
      </c>
      <c r="I8" s="15">
        <f>C8+(Inputs!$E$15-C8)*(6/10)</f>
        <v>0.19039999999999999</v>
      </c>
      <c r="J8" s="15">
        <f>C8+(Inputs!$E$15-C8)*(7/10)</f>
        <v>0.18779999999999999</v>
      </c>
      <c r="K8" s="15">
        <f>C8+(Inputs!$E$15-C8)*(8/10)</f>
        <v>0.18519999999999998</v>
      </c>
      <c r="L8" s="15">
        <f>C8+(Inputs!$E$15-C8)*(9/10)</f>
        <v>0.18259999999999998</v>
      </c>
      <c r="M8" s="15">
        <f>C8+(Inputs!$E$15-C8)*(10/10)</f>
        <v>0.18</v>
      </c>
    </row>
    <row r="9" spans="2:13" x14ac:dyDescent="0.35">
      <c r="B9" s="1" t="s">
        <v>123</v>
      </c>
      <c r="C9" s="20"/>
      <c r="D9" s="21">
        <f>D7*Inputs!$C$19</f>
        <v>153.00764999999998</v>
      </c>
      <c r="E9" s="21">
        <f>E7*Inputs!$C$19</f>
        <v>175.22008799999995</v>
      </c>
      <c r="F9" s="21">
        <f>F7*Inputs!$C$19</f>
        <v>197.16448427999998</v>
      </c>
      <c r="G9" s="21">
        <f>G7*Inputs!$C$19</f>
        <v>217.92743642880001</v>
      </c>
      <c r="H9" s="21">
        <f>H7*Inputs!$C$19</f>
        <v>236.53371551040004</v>
      </c>
      <c r="I9" s="21">
        <f>I7*Inputs!$C$19</f>
        <v>254.34850353454087</v>
      </c>
      <c r="J9" s="21">
        <f>J7*Inputs!$C$19</f>
        <v>270.94527773576533</v>
      </c>
      <c r="K9" s="21">
        <f>K7*Inputs!$C$19</f>
        <v>285.89776367002236</v>
      </c>
      <c r="L9" s="21">
        <f>L7*Inputs!$C$19</f>
        <v>298.79712497254241</v>
      </c>
      <c r="M9" s="21">
        <f>M7*Inputs!$C$19</f>
        <v>309.26975147760413</v>
      </c>
    </row>
    <row r="10" spans="2:13" x14ac:dyDescent="0.35">
      <c r="B10" s="7" t="s">
        <v>124</v>
      </c>
      <c r="C10" s="20"/>
      <c r="D10" s="10">
        <f t="shared" ref="D10:M10" si="2">D7-D9</f>
        <v>447.02234999999996</v>
      </c>
      <c r="E10" s="10">
        <f t="shared" si="2"/>
        <v>511.91751199999987</v>
      </c>
      <c r="F10" s="10">
        <f t="shared" si="2"/>
        <v>576.02957171999992</v>
      </c>
      <c r="G10" s="10">
        <f t="shared" si="2"/>
        <v>636.68996133120004</v>
      </c>
      <c r="H10" s="10">
        <f t="shared" si="2"/>
        <v>691.04948256960006</v>
      </c>
      <c r="I10" s="10">
        <f t="shared" si="2"/>
        <v>743.09660836561932</v>
      </c>
      <c r="J10" s="10">
        <f t="shared" si="2"/>
        <v>791.58522318880455</v>
      </c>
      <c r="K10" s="10">
        <f t="shared" si="2"/>
        <v>835.26993699673199</v>
      </c>
      <c r="L10" s="10">
        <f t="shared" si="2"/>
        <v>872.95630629232983</v>
      </c>
      <c r="M10" s="10">
        <f t="shared" si="2"/>
        <v>903.55280333652968</v>
      </c>
    </row>
    <row r="11" spans="2:13" x14ac:dyDescent="0.35">
      <c r="B11" s="1" t="s">
        <v>125</v>
      </c>
      <c r="C11" s="20"/>
      <c r="D11" s="21">
        <f>D5*Inputs!$E$17</f>
        <v>118</v>
      </c>
      <c r="E11" s="21">
        <f>E5*Inputs!$E$17</f>
        <v>136.88</v>
      </c>
      <c r="F11" s="21">
        <f>F5*Inputs!$E$17</f>
        <v>156.04320000000001</v>
      </c>
      <c r="G11" s="21">
        <f>G5*Inputs!$E$17</f>
        <v>174.768384</v>
      </c>
      <c r="H11" s="21">
        <f>H5*Inputs!$E$17</f>
        <v>192.24522240000002</v>
      </c>
      <c r="I11" s="21">
        <f>I5*Inputs!$E$17</f>
        <v>209.54729241600006</v>
      </c>
      <c r="J11" s="21">
        <f>J5*Inputs!$E$17</f>
        <v>226.31107580928008</v>
      </c>
      <c r="K11" s="21">
        <f>K5*Inputs!$E$17</f>
        <v>242.15285111592971</v>
      </c>
      <c r="L11" s="21">
        <f>L5*Inputs!$E$17</f>
        <v>256.68202218288548</v>
      </c>
      <c r="M11" s="21">
        <f>M5*Inputs!$E$17</f>
        <v>269.51612329202976</v>
      </c>
    </row>
    <row r="12" spans="2:13" x14ac:dyDescent="0.35">
      <c r="B12" s="1" t="s">
        <v>126</v>
      </c>
      <c r="C12" s="20"/>
      <c r="D12" s="21">
        <f>D5*Inputs!$E$16</f>
        <v>147.5</v>
      </c>
      <c r="E12" s="21">
        <f>E5*Inputs!$E$16</f>
        <v>171.1</v>
      </c>
      <c r="F12" s="21">
        <f>F5*Inputs!$E$16</f>
        <v>195.054</v>
      </c>
      <c r="G12" s="21">
        <f>G5*Inputs!$E$16</f>
        <v>218.46048000000002</v>
      </c>
      <c r="H12" s="21">
        <f>H5*Inputs!$E$16</f>
        <v>240.30652800000004</v>
      </c>
      <c r="I12" s="21">
        <f>I5*Inputs!$E$16</f>
        <v>261.93411552000009</v>
      </c>
      <c r="J12" s="21">
        <f>J5*Inputs!$E$16</f>
        <v>282.88884476160013</v>
      </c>
      <c r="K12" s="21">
        <f>K5*Inputs!$E$16</f>
        <v>302.69106389491213</v>
      </c>
      <c r="L12" s="21">
        <f>L5*Inputs!$E$16</f>
        <v>320.8525277286069</v>
      </c>
      <c r="M12" s="21">
        <f>M5*Inputs!$E$16</f>
        <v>336.89515411503726</v>
      </c>
    </row>
    <row r="13" spans="2:13" x14ac:dyDescent="0.35">
      <c r="B13" s="1" t="s">
        <v>127</v>
      </c>
      <c r="C13" s="20"/>
      <c r="D13" s="21">
        <f>(D5-C5)*Inputs!$E$18</f>
        <v>45</v>
      </c>
      <c r="E13" s="21">
        <f>(E5-D5)*Inputs!$E$18</f>
        <v>47.19999999999996</v>
      </c>
      <c r="F13" s="21">
        <f>(F5-E5)*Inputs!$E$18</f>
        <v>47.908000000000044</v>
      </c>
      <c r="G13" s="21">
        <f>(G5-F5)*Inputs!$E$18</f>
        <v>46.812960000000025</v>
      </c>
      <c r="H13" s="21">
        <f>(H5-G5)*Inputs!$E$18</f>
        <v>43.692096000000042</v>
      </c>
      <c r="I13" s="21">
        <f>(I5-H5)*Inputs!$E$18</f>
        <v>43.25517504000009</v>
      </c>
      <c r="J13" s="21">
        <f>(J5-I5)*Inputs!$E$18</f>
        <v>41.909458483200069</v>
      </c>
      <c r="K13" s="21">
        <f>(K5-J5)*Inputs!$E$18</f>
        <v>39.604438266624044</v>
      </c>
      <c r="L13" s="21">
        <f>(L5-K5)*Inputs!$E$18</f>
        <v>36.322927667389472</v>
      </c>
      <c r="M13" s="21">
        <f>(M5-L5)*Inputs!$E$18</f>
        <v>32.085252772860713</v>
      </c>
    </row>
    <row r="14" spans="2:13" x14ac:dyDescent="0.35">
      <c r="B14" s="7" t="s">
        <v>99</v>
      </c>
      <c r="C14" s="18">
        <f>Historical!G18</f>
        <v>339.54945054945057</v>
      </c>
      <c r="D14" s="10">
        <f t="shared" ref="D14:M14" si="3">D10+D11-D12-D13</f>
        <v>372.52234999999996</v>
      </c>
      <c r="E14" s="10">
        <f t="shared" si="3"/>
        <v>430.49751199999992</v>
      </c>
      <c r="F14" s="10">
        <f t="shared" si="3"/>
        <v>489.11077172</v>
      </c>
      <c r="G14" s="10">
        <f t="shared" si="3"/>
        <v>546.18490533120007</v>
      </c>
      <c r="H14" s="10">
        <f t="shared" si="3"/>
        <v>599.29608096959998</v>
      </c>
      <c r="I14" s="10">
        <f t="shared" si="3"/>
        <v>647.45461022161919</v>
      </c>
      <c r="J14" s="10">
        <f t="shared" si="3"/>
        <v>693.09799575328441</v>
      </c>
      <c r="K14" s="10">
        <f t="shared" si="3"/>
        <v>735.1272859511256</v>
      </c>
      <c r="L14" s="10">
        <f t="shared" si="3"/>
        <v>772.46287307921898</v>
      </c>
      <c r="M14" s="10">
        <f t="shared" si="3"/>
        <v>804.08851974066147</v>
      </c>
    </row>
    <row r="15" spans="2:13" x14ac:dyDescent="0.35">
      <c r="B15" s="1" t="s">
        <v>128</v>
      </c>
      <c r="C15" s="14" t="s">
        <v>101</v>
      </c>
      <c r="D15" s="15">
        <f t="shared" ref="D15:M15" si="4">IFERROR(D14/C14-1,0)</f>
        <v>9.7107797986989652E-2</v>
      </c>
      <c r="E15" s="15">
        <f t="shared" si="4"/>
        <v>0.15562868107108185</v>
      </c>
      <c r="F15" s="15">
        <f t="shared" si="4"/>
        <v>0.13615237739167263</v>
      </c>
      <c r="G15" s="15">
        <f t="shared" si="4"/>
        <v>0.11668958630883131</v>
      </c>
      <c r="H15" s="15">
        <f t="shared" si="4"/>
        <v>9.7240284599578786E-2</v>
      </c>
      <c r="I15" s="15">
        <f t="shared" si="4"/>
        <v>8.0358491872837945E-2</v>
      </c>
      <c r="J15" s="15">
        <f t="shared" si="4"/>
        <v>7.0496656925559398E-2</v>
      </c>
      <c r="K15" s="15">
        <f t="shared" si="4"/>
        <v>6.0639751457024715E-2</v>
      </c>
      <c r="L15" s="15">
        <f t="shared" si="4"/>
        <v>5.0787921821984439E-2</v>
      </c>
      <c r="M15" s="15">
        <f t="shared" si="4"/>
        <v>4.0941316098954017E-2</v>
      </c>
    </row>
    <row r="16" spans="2:13" ht="25" x14ac:dyDescent="0.35">
      <c r="B16" s="1" t="s">
        <v>129</v>
      </c>
      <c r="C16" s="22">
        <v>0</v>
      </c>
      <c r="D16" s="22">
        <v>1</v>
      </c>
      <c r="E16" s="22">
        <v>2</v>
      </c>
      <c r="F16" s="22">
        <v>3</v>
      </c>
      <c r="G16" s="22">
        <v>4</v>
      </c>
      <c r="H16" s="22">
        <v>5</v>
      </c>
      <c r="I16" s="22">
        <v>6</v>
      </c>
      <c r="J16" s="22">
        <v>7</v>
      </c>
      <c r="K16" s="22">
        <v>8</v>
      </c>
      <c r="L16" s="22">
        <v>9</v>
      </c>
      <c r="M16" s="22">
        <v>10</v>
      </c>
    </row>
    <row r="17" spans="2:13" x14ac:dyDescent="0.35">
      <c r="B17" s="1" t="s">
        <v>130</v>
      </c>
      <c r="C17" s="23">
        <v>1</v>
      </c>
      <c r="D17" s="24">
        <f>1/((1+WACC!$C$17)^D16)</f>
        <v>0.88686683251076437</v>
      </c>
      <c r="E17" s="24">
        <f>1/((1+WACC!$C$17)^E16)</f>
        <v>0.78653277860767623</v>
      </c>
      <c r="F17" s="24">
        <f>1/((1+WACC!$C$17)^F16)</f>
        <v>0.69754983402968007</v>
      </c>
      <c r="G17" s="24">
        <f>1/((1+WACC!$C$17)^G16)</f>
        <v>0.61863381182431176</v>
      </c>
      <c r="H17" s="24">
        <f>1/((1+WACC!$C$17)^H16)</f>
        <v>0.54864580917668759</v>
      </c>
      <c r="I17" s="24">
        <f>1/((1+WACC!$C$17)^I16)</f>
        <v>0.48657577095483423</v>
      </c>
      <c r="J17" s="24">
        <f>1/((1+WACC!$C$17)^J16)</f>
        <v>0.43152791276319702</v>
      </c>
      <c r="K17" s="24">
        <f>1/((1+WACC!$C$17)^K16)</f>
        <v>0.38270779313227793</v>
      </c>
      <c r="L17" s="24">
        <f>1/((1+WACC!$C$17)^L16)</f>
        <v>0.33941084827240825</v>
      </c>
      <c r="M17" s="24">
        <f>1/((1+WACC!$C$17)^M16)</f>
        <v>0.30101222392714233</v>
      </c>
    </row>
    <row r="18" spans="2:13" x14ac:dyDescent="0.35">
      <c r="B18" s="7" t="s">
        <v>131</v>
      </c>
      <c r="C18" s="20"/>
      <c r="D18" s="10">
        <f t="shared" ref="D18:M18" si="5">D14*D17</f>
        <v>330.37771658396633</v>
      </c>
      <c r="E18" s="10">
        <f t="shared" si="5"/>
        <v>338.6004042970514</v>
      </c>
      <c r="F18" s="10">
        <f t="shared" si="5"/>
        <v>341.17913763541475</v>
      </c>
      <c r="G18" s="10">
        <f t="shared" si="5"/>
        <v>337.88844994594115</v>
      </c>
      <c r="H18" s="10">
        <f t="shared" si="5"/>
        <v>328.80128327998386</v>
      </c>
      <c r="I18" s="10">
        <f t="shared" si="5"/>
        <v>315.03572612684604</v>
      </c>
      <c r="J18" s="10">
        <f t="shared" si="5"/>
        <v>299.09113144777001</v>
      </c>
      <c r="K18" s="10">
        <f t="shared" si="5"/>
        <v>281.33894127767633</v>
      </c>
      <c r="L18" s="10">
        <f t="shared" si="5"/>
        <v>262.18227901075932</v>
      </c>
      <c r="M18" s="10">
        <f t="shared" si="5"/>
        <v>242.04047356142038</v>
      </c>
    </row>
  </sheetData>
  <mergeCells count="1">
    <mergeCell ref="B2:M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8" sqref="C18"/>
    </sheetView>
  </sheetViews>
  <sheetFormatPr defaultColWidth="8.6328125" defaultRowHeight="14.5" x14ac:dyDescent="0.35"/>
  <cols>
    <col min="1" max="1" width="2" customWidth="1"/>
    <col min="2" max="2" width="38" customWidth="1"/>
    <col min="3" max="3" width="18" customWidth="1"/>
    <col min="4" max="4" width="60" customWidth="1"/>
  </cols>
  <sheetData>
    <row r="2" spans="2:4" ht="24" customHeight="1" x14ac:dyDescent="0.35">
      <c r="B2" s="42" t="s">
        <v>132</v>
      </c>
      <c r="C2" s="42"/>
      <c r="D2" s="42"/>
    </row>
    <row r="3" spans="2:4" ht="15" customHeight="1" x14ac:dyDescent="0.35">
      <c r="B3" s="43" t="s">
        <v>133</v>
      </c>
      <c r="C3" s="43"/>
      <c r="D3" s="43"/>
    </row>
    <row r="4" spans="2:4" x14ac:dyDescent="0.35">
      <c r="B4" s="1" t="s">
        <v>134</v>
      </c>
      <c r="C4" s="19">
        <f>Inputs!$C$15</f>
        <v>7.0999999999999994E-2</v>
      </c>
      <c r="D4" s="25" t="s">
        <v>135</v>
      </c>
    </row>
    <row r="5" spans="2:4" x14ac:dyDescent="0.35">
      <c r="B5" s="1" t="s">
        <v>136</v>
      </c>
      <c r="C5" s="19">
        <f>Inputs!$C$16</f>
        <v>7.4999999999999997E-2</v>
      </c>
      <c r="D5" s="25" t="s">
        <v>137</v>
      </c>
    </row>
    <row r="6" spans="2:4" x14ac:dyDescent="0.35">
      <c r="B6" s="1" t="s">
        <v>138</v>
      </c>
      <c r="C6" s="24">
        <f>Inputs!$C$17</f>
        <v>1.1000000000000001</v>
      </c>
      <c r="D6" s="25" t="s">
        <v>139</v>
      </c>
    </row>
    <row r="7" spans="2:4" x14ac:dyDescent="0.35">
      <c r="B7" s="7" t="s">
        <v>140</v>
      </c>
      <c r="C7" s="26">
        <f>C4+C6*C5</f>
        <v>0.1535</v>
      </c>
      <c r="D7" s="25" t="s">
        <v>141</v>
      </c>
    </row>
    <row r="9" spans="2:4" ht="15" customHeight="1" x14ac:dyDescent="0.35">
      <c r="B9" s="43" t="s">
        <v>142</v>
      </c>
      <c r="C9" s="43"/>
      <c r="D9" s="43"/>
    </row>
    <row r="10" spans="2:4" x14ac:dyDescent="0.35">
      <c r="B10" s="1" t="s">
        <v>143</v>
      </c>
      <c r="C10" s="19">
        <f>Inputs!$C$18</f>
        <v>0.09</v>
      </c>
      <c r="D10" s="25" t="s">
        <v>144</v>
      </c>
    </row>
    <row r="11" spans="2:4" x14ac:dyDescent="0.35">
      <c r="B11" s="1" t="s">
        <v>145</v>
      </c>
      <c r="C11" s="19">
        <f>Inputs!$C$19</f>
        <v>0.255</v>
      </c>
      <c r="D11" s="25" t="s">
        <v>146</v>
      </c>
    </row>
    <row r="12" spans="2:4" x14ac:dyDescent="0.35">
      <c r="B12" s="7" t="s">
        <v>147</v>
      </c>
      <c r="C12" s="26">
        <f>C10*(1-C11)</f>
        <v>6.7049999999999998E-2</v>
      </c>
      <c r="D12" s="25" t="s">
        <v>148</v>
      </c>
    </row>
    <row r="14" spans="2:4" ht="15" customHeight="1" x14ac:dyDescent="0.35">
      <c r="B14" s="43" t="s">
        <v>149</v>
      </c>
      <c r="C14" s="43"/>
      <c r="D14" s="43"/>
    </row>
    <row r="15" spans="2:4" x14ac:dyDescent="0.35">
      <c r="B15" s="1" t="s">
        <v>150</v>
      </c>
      <c r="C15" s="19">
        <f>Inputs!$C$20</f>
        <v>0.3</v>
      </c>
      <c r="D15" s="25" t="s">
        <v>151</v>
      </c>
    </row>
    <row r="16" spans="2:4" x14ac:dyDescent="0.35">
      <c r="B16" s="1" t="s">
        <v>152</v>
      </c>
      <c r="C16" s="15">
        <f>1-C15</f>
        <v>0.7</v>
      </c>
      <c r="D16" s="25" t="s">
        <v>153</v>
      </c>
    </row>
    <row r="17" spans="2:4" x14ac:dyDescent="0.35">
      <c r="B17" s="7" t="s">
        <v>154</v>
      </c>
      <c r="C17" s="27">
        <f>C16*C7+C15*C12</f>
        <v>0.12756499999999998</v>
      </c>
      <c r="D17" s="25" t="s">
        <v>155</v>
      </c>
    </row>
  </sheetData>
  <mergeCells count="4">
    <mergeCell ref="B2:D2"/>
    <mergeCell ref="B3:D3"/>
    <mergeCell ref="B9:D9"/>
    <mergeCell ref="B14:D14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22"/>
  <sheetViews>
    <sheetView showGridLines="0" zoomScaleNormal="10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C24" sqref="C24"/>
    </sheetView>
  </sheetViews>
  <sheetFormatPr defaultColWidth="8.6328125" defaultRowHeight="14.5" x14ac:dyDescent="0.35"/>
  <cols>
    <col min="1" max="1" width="2" customWidth="1"/>
    <col min="2" max="2" width="42" customWidth="1"/>
    <col min="3" max="3" width="18" customWidth="1"/>
    <col min="4" max="4" width="60" customWidth="1"/>
  </cols>
  <sheetData>
    <row r="2" spans="2:4" ht="24" customHeight="1" x14ac:dyDescent="0.35">
      <c r="B2" s="42" t="s">
        <v>156</v>
      </c>
      <c r="C2" s="42"/>
      <c r="D2" s="42"/>
    </row>
    <row r="3" spans="2:4" ht="15" customHeight="1" x14ac:dyDescent="0.35">
      <c r="B3" s="43" t="s">
        <v>157</v>
      </c>
      <c r="C3" s="43"/>
      <c r="D3" s="43"/>
    </row>
    <row r="4" spans="2:4" x14ac:dyDescent="0.35">
      <c r="B4" s="7" t="s">
        <v>158</v>
      </c>
      <c r="C4" s="18">
        <f>SUM(Projections!D18:M18)</f>
        <v>3076.5355431668295</v>
      </c>
      <c r="D4" s="25" t="s">
        <v>159</v>
      </c>
    </row>
    <row r="6" spans="2:4" ht="15" customHeight="1" x14ac:dyDescent="0.35">
      <c r="B6" s="43" t="s">
        <v>160</v>
      </c>
      <c r="C6" s="43"/>
      <c r="D6" s="43"/>
    </row>
    <row r="7" spans="2:4" x14ac:dyDescent="0.35">
      <c r="B7" s="1" t="s">
        <v>161</v>
      </c>
      <c r="C7" s="21">
        <f>Projections!M14</f>
        <v>804.08851974066147</v>
      </c>
      <c r="D7" s="25" t="s">
        <v>162</v>
      </c>
    </row>
    <row r="8" spans="2:4" x14ac:dyDescent="0.35">
      <c r="B8" s="1" t="s">
        <v>77</v>
      </c>
      <c r="C8" s="19">
        <f>Inputs!$C$23</f>
        <v>0.04</v>
      </c>
      <c r="D8" s="25" t="s">
        <v>163</v>
      </c>
    </row>
    <row r="9" spans="2:4" x14ac:dyDescent="0.35">
      <c r="B9" s="1" t="s">
        <v>164</v>
      </c>
      <c r="C9" s="19">
        <f>WACC!$C$17</f>
        <v>0.12756499999999998</v>
      </c>
      <c r="D9" s="25" t="s">
        <v>165</v>
      </c>
    </row>
    <row r="10" spans="2:4" ht="26" x14ac:dyDescent="0.35">
      <c r="B10" s="7" t="s">
        <v>166</v>
      </c>
      <c r="C10" s="10">
        <f>C7*(1+C8)/(C9-C8)</f>
        <v>9550.0720668108061</v>
      </c>
      <c r="D10" s="25" t="s">
        <v>167</v>
      </c>
    </row>
    <row r="11" spans="2:4" x14ac:dyDescent="0.35">
      <c r="B11" s="7" t="s">
        <v>168</v>
      </c>
      <c r="C11" s="10">
        <f>C10/((1+C9)^Inputs!$C$24)</f>
        <v>2874.6884314952013</v>
      </c>
      <c r="D11" s="25" t="s">
        <v>169</v>
      </c>
    </row>
    <row r="13" spans="2:4" ht="15" customHeight="1" x14ac:dyDescent="0.35">
      <c r="B13" s="43" t="s">
        <v>170</v>
      </c>
      <c r="C13" s="43"/>
      <c r="D13" s="43"/>
    </row>
    <row r="14" spans="2:4" x14ac:dyDescent="0.35">
      <c r="B14" s="7" t="s">
        <v>171</v>
      </c>
      <c r="C14" s="10">
        <f>C4+C11</f>
        <v>5951.2239746620307</v>
      </c>
      <c r="D14" s="25" t="s">
        <v>172</v>
      </c>
    </row>
    <row r="15" spans="2:4" x14ac:dyDescent="0.35">
      <c r="B15" s="1" t="s">
        <v>173</v>
      </c>
      <c r="C15" s="21">
        <f>Inputs!$C$8</f>
        <v>200</v>
      </c>
      <c r="D15" s="25" t="s">
        <v>174</v>
      </c>
    </row>
    <row r="16" spans="2:4" x14ac:dyDescent="0.35">
      <c r="B16" s="1" t="s">
        <v>175</v>
      </c>
      <c r="C16" s="21">
        <f>Inputs!$C$7</f>
        <v>800</v>
      </c>
      <c r="D16" s="25" t="s">
        <v>176</v>
      </c>
    </row>
    <row r="17" spans="2:4" x14ac:dyDescent="0.35">
      <c r="B17" s="1" t="s">
        <v>177</v>
      </c>
      <c r="C17" s="21">
        <f>Inputs!$C$9</f>
        <v>0</v>
      </c>
      <c r="D17" s="25" t="s">
        <v>178</v>
      </c>
    </row>
    <row r="18" spans="2:4" x14ac:dyDescent="0.35">
      <c r="B18" s="7" t="s">
        <v>179</v>
      </c>
      <c r="C18" s="10">
        <f>C14+C15-C16-C17</f>
        <v>5351.2239746620307</v>
      </c>
      <c r="D18" s="25" t="s">
        <v>180</v>
      </c>
    </row>
    <row r="19" spans="2:4" x14ac:dyDescent="0.35">
      <c r="B19" s="1" t="s">
        <v>181</v>
      </c>
      <c r="C19" s="21">
        <f>Inputs!$C$6</f>
        <v>30</v>
      </c>
      <c r="D19" s="25" t="s">
        <v>182</v>
      </c>
    </row>
    <row r="20" spans="2:4" x14ac:dyDescent="0.35">
      <c r="B20" s="7" t="s">
        <v>183</v>
      </c>
      <c r="C20" s="28">
        <f>IFERROR(C18/C19,0)</f>
        <v>178.37413248873435</v>
      </c>
      <c r="D20" s="25" t="s">
        <v>184</v>
      </c>
    </row>
    <row r="21" spans="2:4" x14ac:dyDescent="0.35">
      <c r="B21" s="1" t="s">
        <v>185</v>
      </c>
      <c r="C21" s="21">
        <f>Inputs!$C$5</f>
        <v>150</v>
      </c>
      <c r="D21" s="25" t="s">
        <v>186</v>
      </c>
    </row>
    <row r="22" spans="2:4" x14ac:dyDescent="0.35">
      <c r="B22" s="7" t="s">
        <v>187</v>
      </c>
      <c r="C22" s="27">
        <f>IFERROR(C20/C21-1,0)</f>
        <v>0.189160883258229</v>
      </c>
      <c r="D22" s="25" t="s">
        <v>188</v>
      </c>
    </row>
  </sheetData>
  <mergeCells count="4">
    <mergeCell ref="B2:D2"/>
    <mergeCell ref="B3:D3"/>
    <mergeCell ref="B6:D6"/>
    <mergeCell ref="B13:D13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0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7" sqref="C17"/>
    </sheetView>
  </sheetViews>
  <sheetFormatPr defaultColWidth="8.6328125" defaultRowHeight="14.5" x14ac:dyDescent="0.35"/>
  <cols>
    <col min="1" max="1" width="2" customWidth="1"/>
    <col min="2" max="2" width="22" customWidth="1"/>
    <col min="3" max="10" width="12" customWidth="1"/>
  </cols>
  <sheetData>
    <row r="2" spans="2:10" ht="24" customHeight="1" x14ac:dyDescent="0.35">
      <c r="B2" s="42" t="s">
        <v>189</v>
      </c>
      <c r="C2" s="42"/>
      <c r="D2" s="42"/>
      <c r="E2" s="42"/>
      <c r="F2" s="42"/>
      <c r="G2" s="42"/>
      <c r="H2" s="42"/>
      <c r="I2" s="42"/>
      <c r="J2" s="42"/>
    </row>
    <row r="4" spans="2:10" x14ac:dyDescent="0.35">
      <c r="B4" s="17" t="s">
        <v>190</v>
      </c>
      <c r="C4" s="29">
        <f>Inputs!$C$23+(-0.025)</f>
        <v>1.4999999999999999E-2</v>
      </c>
      <c r="D4" s="29">
        <f>Inputs!$C$23+(-0.015)</f>
        <v>2.5000000000000001E-2</v>
      </c>
      <c r="E4" s="29">
        <f>Inputs!$C$23+(-0.005)</f>
        <v>3.5000000000000003E-2</v>
      </c>
      <c r="F4" s="29">
        <f>Inputs!$C$23+(0.005)</f>
        <v>4.4999999999999998E-2</v>
      </c>
      <c r="G4" s="29">
        <f>Inputs!$C$23+(0.015)</f>
        <v>5.5E-2</v>
      </c>
      <c r="H4" s="29">
        <f>Inputs!$C$23+(0.025)</f>
        <v>6.5000000000000002E-2</v>
      </c>
    </row>
    <row r="5" spans="2:10" x14ac:dyDescent="0.35">
      <c r="B5" s="29">
        <f>WACC!$C$17+(-0.03)</f>
        <v>9.7564999999999985E-2</v>
      </c>
      <c r="C5" s="30">
        <f>IFERROR(((SUMPRODUCT(Projections!$D$14:$M$14*(1/(1+$B5)^Projections!$D$16:$M$16))+IF($B5&gt;C$4,(Projections!$M$14*(1+C$4)/($B5-C$4))/((1+$B5)^Inputs!$C$24),NA()))+Inputs!$C$8-Inputs!$C$7-Inputs!$C$9)/Inputs!$C$6,NA())</f>
        <v>228.25434985791767</v>
      </c>
      <c r="D5" s="30">
        <f>IFERROR(((SUMPRODUCT(Projections!$D$14:$M$14*(1/(1+$B5)^Projections!$D$16:$M$16))+IF($B5&gt;D$4,(Projections!$M$14*(1+D$4)/($B5-D$4))/((1+$B5)^Inputs!$C$24),NA()))+Inputs!$C$8-Inputs!$C$7-Inputs!$C$9)/Inputs!$C$6,NA())</f>
        <v>247.60908251325145</v>
      </c>
      <c r="E5" s="30">
        <f>IFERROR(((SUMPRODUCT(Projections!$D$14:$M$14*(1/(1+$B5)^Projections!$D$16:$M$16))+IF($B5&gt;E$4,(Projections!$M$14*(1+E$4)/($B5-E$4))/((1+$B5)^Inputs!$C$24),NA()))+Inputs!$C$8-Inputs!$C$7-Inputs!$C$9)/Inputs!$C$6,NA())</f>
        <v>273.15089505520996</v>
      </c>
      <c r="F5" s="30">
        <f>IFERROR(((SUMPRODUCT(Projections!$D$14:$M$14*(1/(1+$B5)^Projections!$D$16:$M$16))+IF($B5&gt;F$4,(Projections!$M$14*(1+F$4)/($B5-F$4))/((1+$B5)^Inputs!$C$24),NA()))+Inputs!$C$8-Inputs!$C$7-Inputs!$C$9)/Inputs!$C$6,NA())</f>
        <v>308.41088986367981</v>
      </c>
      <c r="G5" s="30">
        <f>IFERROR(((SUMPRODUCT(Projections!$D$14:$M$14*(1/(1+$B5)^Projections!$D$16:$M$16))+IF($B5&gt;G$4,(Projections!$M$14*(1+G$4)/($B5-G$4))/((1+$B5)^Inputs!$C$24),NA()))+Inputs!$C$8-Inputs!$C$7-Inputs!$C$9)/Inputs!$C$6,NA())</f>
        <v>360.23848472311641</v>
      </c>
      <c r="H5" s="30">
        <f>IFERROR(((SUMPRODUCT(Projections!$D$14:$M$14*(1/(1+$B5)^Projections!$D$16:$M$16))+IF($B5&gt;H$4,(Projections!$M$14*(1+H$4)/($B5-H$4))/((1+$B5)^Inputs!$C$24),NA()))+Inputs!$C$8-Inputs!$C$7-Inputs!$C$9)/Inputs!$C$6,NA())</f>
        <v>443.89632362335556</v>
      </c>
    </row>
    <row r="6" spans="2:10" x14ac:dyDescent="0.35">
      <c r="B6" s="29">
        <f>WACC!$C$17+(-0.02)</f>
        <v>0.10756499999999998</v>
      </c>
      <c r="C6" s="30">
        <f>IFERROR(((SUMPRODUCT(Projections!$D$14:$M$14*(1/(1+$B6)^Projections!$D$16:$M$16))+IF($B6&gt;C$4,(Projections!$M$14*(1+C$4)/($B6-C$4))/((1+$B6)^Inputs!$C$24),NA()))+Inputs!$C$8-Inputs!$C$7-Inputs!$C$9)/Inputs!$C$6,NA())</f>
        <v>198.52923525521317</v>
      </c>
      <c r="D6" s="30">
        <f>IFERROR(((SUMPRODUCT(Projections!$D$14:$M$14*(1/(1+$B6)^Projections!$D$16:$M$16))+IF($B6&gt;D$4,(Projections!$M$14*(1+D$4)/($B6-D$4))/((1+$B6)^Inputs!$C$24),NA()))+Inputs!$C$8-Inputs!$C$7-Inputs!$C$9)/Inputs!$C$6,NA())</f>
        <v>212.51276489316925</v>
      </c>
      <c r="E6" s="30">
        <f>IFERROR(((SUMPRODUCT(Projections!$D$14:$M$14*(1/(1+$B6)^Projections!$D$16:$M$16))+IF($B6&gt;E$4,(Projections!$M$14*(1+E$4)/($B6-E$4))/((1+$B6)^Inputs!$C$24),NA()))+Inputs!$C$8-Inputs!$C$7-Inputs!$C$9)/Inputs!$C$6,NA())</f>
        <v>230.35036457534937</v>
      </c>
      <c r="F6" s="30">
        <f>IFERROR(((SUMPRODUCT(Projections!$D$14:$M$14*(1/(1+$B6)^Projections!$D$16:$M$16))+IF($B6&gt;F$4,(Projections!$M$14*(1+F$4)/($B6-F$4))/((1+$B6)^Inputs!$C$24),NA()))+Inputs!$C$8-Inputs!$C$7-Inputs!$C$9)/Inputs!$C$6,NA())</f>
        <v>253.89006597004615</v>
      </c>
      <c r="G6" s="30">
        <f>IFERROR(((SUMPRODUCT(Projections!$D$14:$M$14*(1/(1+$B6)^Projections!$D$16:$M$16))+IF($B6&gt;G$4,(Projections!$M$14*(1+G$4)/($B6-G$4))/((1+$B6)^Inputs!$C$24),NA()))+Inputs!$C$8-Inputs!$C$7-Inputs!$C$9)/Inputs!$C$6,NA())</f>
        <v>286.38618376146951</v>
      </c>
      <c r="H6" s="30">
        <f>IFERROR(((SUMPRODUCT(Projections!$D$14:$M$14*(1/(1+$B6)^Projections!$D$16:$M$16))+IF($B6&gt;H$4,(Projections!$M$14*(1+H$4)/($B6-H$4))/((1+$B6)^Inputs!$C$24),NA()))+Inputs!$C$8-Inputs!$C$7-Inputs!$C$9)/Inputs!$C$6,NA())</f>
        <v>334.15123978450271</v>
      </c>
    </row>
    <row r="7" spans="2:10" x14ac:dyDescent="0.35">
      <c r="B7" s="29">
        <f>WACC!$C$17+(-0.01)</f>
        <v>0.11756499999999999</v>
      </c>
      <c r="C7" s="30">
        <f>IFERROR(((SUMPRODUCT(Projections!$D$14:$M$14*(1/(1+$B7)^Projections!$D$16:$M$16))+IF($B7&gt;C$4,(Projections!$M$14*(1+C$4)/($B7-C$4))/((1+$B7)^Inputs!$C$24),NA()))+Inputs!$C$8-Inputs!$C$7-Inputs!$C$9)/Inputs!$C$6,NA())</f>
        <v>174.74176912440743</v>
      </c>
      <c r="D7" s="30">
        <f>IFERROR(((SUMPRODUCT(Projections!$D$14:$M$14*(1/(1+$B7)^Projections!$D$16:$M$16))+IF($B7&gt;D$4,(Projections!$M$14*(1+D$4)/($B7-D$4))/((1+$B7)^Inputs!$C$24),NA()))+Inputs!$C$8-Inputs!$C$7-Inputs!$C$9)/Inputs!$C$6,NA())</f>
        <v>185.1237802183378</v>
      </c>
      <c r="E7" s="30">
        <f>IFERROR(((SUMPRODUCT(Projections!$D$14:$M$14*(1/(1+$B7)^Projections!$D$16:$M$16))+IF($B7&gt;E$4,(Projections!$M$14*(1+E$4)/($B7-E$4))/((1+$B7)^Inputs!$C$24),NA()))+Inputs!$C$8-Inputs!$C$7-Inputs!$C$9)/Inputs!$C$6,NA())</f>
        <v>198.02066107401473</v>
      </c>
      <c r="F7" s="30">
        <f>IFERROR(((SUMPRODUCT(Projections!$D$14:$M$14*(1/(1+$B7)^Projections!$D$16:$M$16))+IF($B7&gt;F$4,(Projections!$M$14*(1+F$4)/($B7-F$4))/((1+$B7)^Inputs!$C$24),NA()))+Inputs!$C$8-Inputs!$C$7-Inputs!$C$9)/Inputs!$C$6,NA())</f>
        <v>214.47211530685064</v>
      </c>
      <c r="G7" s="30">
        <f>IFERROR(((SUMPRODUCT(Projections!$D$14:$M$14*(1/(1+$B7)^Projections!$D$16:$M$16))+IF($B7&gt;G$4,(Projections!$M$14*(1+G$4)/($B7-G$4))/((1+$B7)^Inputs!$C$24),NA()))+Inputs!$C$8-Inputs!$C$7-Inputs!$C$9)/Inputs!$C$6,NA())</f>
        <v>236.18256553835545</v>
      </c>
      <c r="H7" s="30">
        <f>IFERROR(((SUMPRODUCT(Projections!$D$14:$M$14*(1/(1+$B7)^Projections!$D$16:$M$16))+IF($B7&gt;H$4,(Projections!$M$14*(1+H$4)/($B7-H$4))/((1+$B7)^Inputs!$C$24),NA()))+Inputs!$C$8-Inputs!$C$7-Inputs!$C$9)/Inputs!$C$6,NA())</f>
        <v>266.15343628978974</v>
      </c>
    </row>
    <row r="8" spans="2:10" x14ac:dyDescent="0.35">
      <c r="B8" s="29">
        <f>WACC!$C$17+(0)</f>
        <v>0.12756499999999998</v>
      </c>
      <c r="C8" s="30">
        <f>IFERROR(((SUMPRODUCT(Projections!$D$14:$M$14*(1/(1+$B8)^Projections!$D$16:$M$16))+IF($B8&gt;C$4,(Projections!$M$14*(1+C$4)/($B8-C$4))/((1+$B8)^Inputs!$C$24),NA()))+Inputs!$C$8-Inputs!$C$7-Inputs!$C$9)/Inputs!$C$6,NA())</f>
        <v>155.30058309463149</v>
      </c>
      <c r="D8" s="30">
        <f>IFERROR(((SUMPRODUCT(Projections!$D$14:$M$14*(1/(1+$B8)^Projections!$D$16:$M$16))+IF($B8&gt;D$4,(Projections!$M$14*(1+D$4)/($B8-D$4))/((1+$B8)^Inputs!$C$24),NA()))+Inputs!$C$8-Inputs!$C$7-Inputs!$C$9)/Inputs!$C$6,NA())</f>
        <v>163.18021202338738</v>
      </c>
      <c r="E8" s="30">
        <f>IFERROR(((SUMPRODUCT(Projections!$D$14:$M$14*(1/(1+$B8)^Projections!$D$16:$M$16))+IF($B8&gt;E$4,(Projections!$M$14*(1+E$4)/($B8-E$4))/((1+$B8)^Inputs!$C$24),NA()))+Inputs!$C$8-Inputs!$C$7-Inputs!$C$9)/Inputs!$C$6,NA())</f>
        <v>172.76234814789885</v>
      </c>
      <c r="F8" s="30">
        <f>IFERROR(((SUMPRODUCT(Projections!$D$14:$M$14*(1/(1+$B8)^Projections!$D$16:$M$16))+IF($B8&gt;F$4,(Projections!$M$14*(1+F$4)/($B8-F$4))/((1+$B8)^Inputs!$C$24),NA()))+Inputs!$C$8-Inputs!$C$7-Inputs!$C$9)/Inputs!$C$6,NA())</f>
        <v>184.66559760724019</v>
      </c>
      <c r="G8" s="30">
        <f>IFERROR(((SUMPRODUCT(Projections!$D$14:$M$14*(1/(1+$B8)^Projections!$D$16:$M$16))+IF($B8&gt;G$4,(Projections!$M$14*(1+G$4)/($B8-G$4))/((1+$B8)^Inputs!$C$24),NA()))+Inputs!$C$8-Inputs!$C$7-Inputs!$C$9)/Inputs!$C$6,NA())</f>
        <v>199.84956076032958</v>
      </c>
      <c r="H8" s="30">
        <f>IFERROR(((SUMPRODUCT(Projections!$D$14:$M$14*(1/(1+$B8)^Projections!$D$16:$M$16))+IF($B8&gt;H$4,(Projections!$M$14*(1+H$4)/($B8-H$4))/((1+$B8)^Inputs!$C$24),NA()))+Inputs!$C$8-Inputs!$C$7-Inputs!$C$9)/Inputs!$C$6,NA())</f>
        <v>219.88734414936224</v>
      </c>
    </row>
    <row r="9" spans="2:10" x14ac:dyDescent="0.35">
      <c r="B9" s="29">
        <f>WACC!$C$17+(0.01)</f>
        <v>0.13756499999999999</v>
      </c>
      <c r="C9" s="30">
        <f>IFERROR(((SUMPRODUCT(Projections!$D$14:$M$14*(1/(1+$B9)^Projections!$D$16:$M$16))+IF($B9&gt;C$4,(Projections!$M$14*(1+C$4)/($B9-C$4))/((1+$B9)^Inputs!$C$24),NA()))+Inputs!$C$8-Inputs!$C$7-Inputs!$C$9)/Inputs!$C$6,NA())</f>
        <v>139.13433279213697</v>
      </c>
      <c r="D9" s="30">
        <f>IFERROR(((SUMPRODUCT(Projections!$D$14:$M$14*(1/(1+$B9)^Projections!$D$16:$M$16))+IF($B9&gt;D$4,(Projections!$M$14*(1+D$4)/($B9-D$4))/((1+$B9)^Inputs!$C$24),NA()))+Inputs!$C$8-Inputs!$C$7-Inputs!$C$9)/Inputs!$C$6,NA())</f>
        <v>145.22446567254659</v>
      </c>
      <c r="E9" s="30">
        <f>IFERROR(((SUMPRODUCT(Projections!$D$14:$M$14*(1/(1+$B9)^Projections!$D$16:$M$16))+IF($B9&gt;E$4,(Projections!$M$14*(1+E$4)/($B9-E$4))/((1+$B9)^Inputs!$C$24),NA()))+Inputs!$C$8-Inputs!$C$7-Inputs!$C$9)/Inputs!$C$6,NA())</f>
        <v>152.50216407343777</v>
      </c>
      <c r="F9" s="30">
        <f>IFERROR(((SUMPRODUCT(Projections!$D$14:$M$14*(1/(1+$B9)^Projections!$D$16:$M$16))+IF($B9&gt;F$4,(Projections!$M$14*(1+F$4)/($B9-F$4))/((1+$B9)^Inputs!$C$24),NA()))+Inputs!$C$8-Inputs!$C$7-Inputs!$C$9)/Inputs!$C$6,NA())</f>
        <v>161.35231391945209</v>
      </c>
      <c r="G9" s="30">
        <f>IFERROR(((SUMPRODUCT(Projections!$D$14:$M$14*(1/(1+$B9)^Projections!$D$16:$M$16))+IF($B9&gt;G$4,(Projections!$M$14*(1+G$4)/($B9-G$4))/((1+$B9)^Inputs!$C$24),NA()))+Inputs!$C$8-Inputs!$C$7-Inputs!$C$9)/Inputs!$C$6,NA())</f>
        <v>172.34626558125134</v>
      </c>
      <c r="H9" s="30">
        <f>IFERROR(((SUMPRODUCT(Projections!$D$14:$M$14*(1/(1+$B9)^Projections!$D$16:$M$16))+IF($B9&gt;H$4,(Projections!$M$14*(1+H$4)/($B9-H$4))/((1+$B9)^Inputs!$C$24),NA()))+Inputs!$C$8-Inputs!$C$7-Inputs!$C$9)/Inputs!$C$6,NA())</f>
        <v>186.37031485534285</v>
      </c>
    </row>
    <row r="10" spans="2:10" x14ac:dyDescent="0.35">
      <c r="B10" s="29">
        <f>WACC!$C$17+(0.02)</f>
        <v>0.14756499999999997</v>
      </c>
      <c r="C10" s="30">
        <f>IFERROR(((SUMPRODUCT(Projections!$D$14:$M$14*(1/(1+$B10)^Projections!$D$16:$M$16))+IF($B10&gt;C$4,(Projections!$M$14*(1+C$4)/($B10-C$4))/((1+$B10)^Inputs!$C$24),NA()))+Inputs!$C$8-Inputs!$C$7-Inputs!$C$9)/Inputs!$C$6,NA())</f>
        <v>125.49550123783796</v>
      </c>
      <c r="D10" s="30">
        <f>IFERROR(((SUMPRODUCT(Projections!$D$14:$M$14*(1/(1+$B10)^Projections!$D$16:$M$16))+IF($B10&gt;D$4,(Projections!$M$14*(1+D$4)/($B10-D$4))/((1+$B10)^Inputs!$C$24),NA()))+Inputs!$C$8-Inputs!$C$7-Inputs!$C$9)/Inputs!$C$6,NA())</f>
        <v>130.27510192075721</v>
      </c>
      <c r="E10" s="30">
        <f>IFERROR(((SUMPRODUCT(Projections!$D$14:$M$14*(1/(1+$B10)^Projections!$D$16:$M$16))+IF($B10&gt;E$4,(Projections!$M$14*(1+E$4)/($B10-E$4))/((1+$B10)^Inputs!$C$24),NA()))+Inputs!$C$8-Inputs!$C$7-Inputs!$C$9)/Inputs!$C$6,NA())</f>
        <v>135.90391873354264</v>
      </c>
      <c r="F10" s="30">
        <f>IFERROR(((SUMPRODUCT(Projections!$D$14:$M$14*(1/(1+$B10)^Projections!$D$16:$M$16))+IF($B10&gt;F$4,(Projections!$M$14*(1+F$4)/($B10-F$4))/((1+$B10)^Inputs!$C$24),NA()))+Inputs!$C$8-Inputs!$C$7-Inputs!$C$9)/Inputs!$C$6,NA())</f>
        <v>142.63034522073661</v>
      </c>
      <c r="G10" s="30">
        <f>IFERROR(((SUMPRODUCT(Projections!$D$14:$M$14*(1/(1+$B10)^Projections!$D$16:$M$16))+IF($B10&gt;G$4,(Projections!$M$14*(1+G$4)/($B10-G$4))/((1+$B10)^Inputs!$C$24),NA()))+Inputs!$C$8-Inputs!$C$7-Inputs!$C$9)/Inputs!$C$6,NA())</f>
        <v>150.81011292484709</v>
      </c>
      <c r="H10" s="30">
        <f>IFERROR(((SUMPRODUCT(Projections!$D$14:$M$14*(1/(1+$B10)^Projections!$D$16:$M$16))+IF($B10&gt;H$4,(Projections!$M$14*(1+H$4)/($B10-H$4))/((1+$B10)^Inputs!$C$24),NA()))+Inputs!$C$8-Inputs!$C$7-Inputs!$C$9)/Inputs!$C$6,NA())</f>
        <v>160.97129350465804</v>
      </c>
    </row>
    <row r="11" spans="2:10" x14ac:dyDescent="0.35">
      <c r="B11" s="29">
        <f>WACC!$C$17+(0.03)</f>
        <v>0.15756499999999998</v>
      </c>
      <c r="C11" s="30">
        <f>IFERROR(((SUMPRODUCT(Projections!$D$14:$M$14*(1/(1+$B11)^Projections!$D$16:$M$16))+IF($B11&gt;C$4,(Projections!$M$14*(1+C$4)/($B11-C$4))/((1+$B11)^Inputs!$C$24),NA()))+Inputs!$C$8-Inputs!$C$7-Inputs!$C$9)/Inputs!$C$6,NA())</f>
        <v>113.84677914834798</v>
      </c>
      <c r="D11" s="30">
        <f>IFERROR(((SUMPRODUCT(Projections!$D$14:$M$14*(1/(1+$B11)^Projections!$D$16:$M$16))+IF($B11&gt;D$4,(Projections!$M$14*(1+D$4)/($B11-D$4))/((1+$B11)^Inputs!$C$24),NA()))+Inputs!$C$8-Inputs!$C$7-Inputs!$C$9)/Inputs!$C$6,NA())</f>
        <v>117.64720557203054</v>
      </c>
      <c r="E11" s="30">
        <f>IFERROR(((SUMPRODUCT(Projections!$D$14:$M$14*(1/(1+$B11)^Projections!$D$16:$M$16))+IF($B11&gt;E$4,(Projections!$M$14*(1+E$4)/($B11-E$4))/((1+$B11)^Inputs!$C$24),NA()))+Inputs!$C$8-Inputs!$C$7-Inputs!$C$9)/Inputs!$C$6,NA())</f>
        <v>122.06778072066433</v>
      </c>
      <c r="F11" s="30">
        <f>IFERROR(((SUMPRODUCT(Projections!$D$14:$M$14*(1/(1+$B11)^Projections!$D$16:$M$16))+IF($B11&gt;F$4,(Projections!$M$14*(1+F$4)/($B11-F$4))/((1+$B11)^Inputs!$C$24),NA()))+Inputs!$C$8-Inputs!$C$7-Inputs!$C$9)/Inputs!$C$6,NA())</f>
        <v>127.27378209390324</v>
      </c>
      <c r="G11" s="30">
        <f>IFERROR(((SUMPRODUCT(Projections!$D$14:$M$14*(1/(1+$B11)^Projections!$D$16:$M$16))+IF($B11&gt;G$4,(Projections!$M$14*(1+G$4)/($B11-G$4))/((1+$B11)^Inputs!$C$24),NA()))+Inputs!$C$8-Inputs!$C$7-Inputs!$C$9)/Inputs!$C$6,NA())</f>
        <v>133.49494485226163</v>
      </c>
      <c r="H11" s="30">
        <f>IFERROR(((SUMPRODUCT(Projections!$D$14:$M$14*(1/(1+$B11)^Projections!$D$16:$M$16))+IF($B11&gt;H$4,(Projections!$M$14*(1+H$4)/($B11-H$4))/((1+$B11)^Inputs!$C$24),NA()))+Inputs!$C$8-Inputs!$C$7-Inputs!$C$9)/Inputs!$C$6,NA())</f>
        <v>141.06027932959768</v>
      </c>
    </row>
    <row r="13" spans="2:10" x14ac:dyDescent="0.35">
      <c r="B13" s="31" t="s">
        <v>191</v>
      </c>
    </row>
    <row r="14" spans="2:10" x14ac:dyDescent="0.35">
      <c r="B14" t="s">
        <v>192</v>
      </c>
      <c r="C14" s="19">
        <f>WACC!$C$17</f>
        <v>0.12756499999999998</v>
      </c>
    </row>
    <row r="15" spans="2:10" x14ac:dyDescent="0.35">
      <c r="B15" t="s">
        <v>193</v>
      </c>
      <c r="C15" s="19">
        <f>Inputs!$C$23</f>
        <v>0.04</v>
      </c>
    </row>
    <row r="16" spans="2:10" x14ac:dyDescent="0.35">
      <c r="B16" t="s">
        <v>194</v>
      </c>
      <c r="C16" s="18">
        <f>DCF!$C$20</f>
        <v>178.37413248873435</v>
      </c>
    </row>
    <row r="17" spans="2:10" x14ac:dyDescent="0.35">
      <c r="B17" t="s">
        <v>185</v>
      </c>
      <c r="C17" s="21">
        <f>Inputs!$C$5</f>
        <v>150</v>
      </c>
    </row>
    <row r="19" spans="2:10" ht="15" customHeight="1" x14ac:dyDescent="0.35">
      <c r="B19" s="41" t="s">
        <v>195</v>
      </c>
      <c r="C19" s="41"/>
      <c r="D19" s="41"/>
      <c r="E19" s="41"/>
      <c r="F19" s="41"/>
      <c r="G19" s="41"/>
      <c r="H19" s="41"/>
      <c r="I19" s="41"/>
      <c r="J19" s="41"/>
    </row>
    <row r="20" spans="2:10" x14ac:dyDescent="0.35">
      <c r="B20" s="41"/>
      <c r="C20" s="41"/>
      <c r="D20" s="41"/>
      <c r="E20" s="41"/>
      <c r="F20" s="41"/>
      <c r="G20" s="41"/>
      <c r="H20" s="41"/>
      <c r="I20" s="41"/>
      <c r="J20" s="41"/>
    </row>
  </sheetData>
  <mergeCells count="2">
    <mergeCell ref="B2:J2"/>
    <mergeCell ref="B19:J20"/>
  </mergeCells>
  <conditionalFormatting sqref="C5:H11">
    <cfRule type="colorScale" priority="2">
      <colorScale>
        <cfvo type="min"/>
        <cfvo type="percentile" val="50"/>
        <cfvo type="max"/>
        <color rgb="FFF8CECC"/>
        <color rgb="FFFFFFFF"/>
        <color rgb="FFD5E8D4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28"/>
  <sheetViews>
    <sheetView showGridLines="0" zoomScaleNormal="100" workbookViewId="0">
      <pane xSplit="2" ySplit="4" topLeftCell="C21" activePane="bottomRight" state="frozen"/>
      <selection pane="topRight" activeCell="C1" sqref="C1"/>
      <selection pane="bottomLeft" activeCell="A5" sqref="A5"/>
      <selection pane="bottomRight" activeCell="C28" sqref="C28"/>
    </sheetView>
  </sheetViews>
  <sheetFormatPr defaultColWidth="8.6328125" defaultRowHeight="14.5" x14ac:dyDescent="0.35"/>
  <cols>
    <col min="1" max="1" width="2" customWidth="1"/>
    <col min="2" max="2" width="28" customWidth="1"/>
    <col min="3" max="7" width="14" customWidth="1"/>
  </cols>
  <sheetData>
    <row r="2" spans="2:7" ht="24" customHeight="1" x14ac:dyDescent="0.35">
      <c r="B2" s="42" t="s">
        <v>196</v>
      </c>
      <c r="C2" s="42"/>
      <c r="D2" s="42"/>
      <c r="E2" s="42"/>
      <c r="F2" s="42"/>
      <c r="G2" s="42"/>
    </row>
    <row r="4" spans="2:7" ht="28" x14ac:dyDescent="0.35">
      <c r="B4" s="13" t="s">
        <v>197</v>
      </c>
      <c r="C4" s="13" t="s">
        <v>198</v>
      </c>
      <c r="D4" s="13" t="s">
        <v>199</v>
      </c>
      <c r="E4" s="13" t="s">
        <v>200</v>
      </c>
      <c r="F4" s="13" t="s">
        <v>201</v>
      </c>
    </row>
    <row r="5" spans="2:7" ht="25" x14ac:dyDescent="0.35">
      <c r="B5" s="2" t="s">
        <v>202</v>
      </c>
      <c r="C5" s="32">
        <v>22</v>
      </c>
      <c r="D5" s="32">
        <v>14</v>
      </c>
      <c r="E5" s="32">
        <v>3.5</v>
      </c>
      <c r="F5" s="2" t="s">
        <v>203</v>
      </c>
    </row>
    <row r="6" spans="2:7" x14ac:dyDescent="0.35">
      <c r="B6" s="2" t="s">
        <v>204</v>
      </c>
      <c r="C6" s="32">
        <v>18.5</v>
      </c>
      <c r="D6" s="32">
        <v>11.5</v>
      </c>
      <c r="E6" s="32">
        <v>2.8</v>
      </c>
      <c r="F6" s="2"/>
    </row>
    <row r="7" spans="2:7" x14ac:dyDescent="0.35">
      <c r="B7" s="2" t="s">
        <v>205</v>
      </c>
      <c r="C7" s="32">
        <v>25</v>
      </c>
      <c r="D7" s="32">
        <v>16</v>
      </c>
      <c r="E7" s="32">
        <v>4.2</v>
      </c>
      <c r="F7" s="2"/>
    </row>
    <row r="8" spans="2:7" x14ac:dyDescent="0.35">
      <c r="B8" s="2" t="s">
        <v>206</v>
      </c>
      <c r="C8" s="32">
        <v>20</v>
      </c>
      <c r="D8" s="32">
        <v>12.5</v>
      </c>
      <c r="E8" s="32">
        <v>3</v>
      </c>
      <c r="F8" s="2"/>
    </row>
    <row r="9" spans="2:7" ht="25" x14ac:dyDescent="0.35">
      <c r="B9" s="2" t="s">
        <v>207</v>
      </c>
      <c r="C9" s="32">
        <v>16</v>
      </c>
      <c r="D9" s="32">
        <v>10</v>
      </c>
      <c r="E9" s="32">
        <v>2.4</v>
      </c>
      <c r="F9" s="2" t="s">
        <v>208</v>
      </c>
    </row>
    <row r="10" spans="2:7" x14ac:dyDescent="0.35">
      <c r="B10" s="2" t="s">
        <v>209</v>
      </c>
      <c r="C10" s="32">
        <v>19.5</v>
      </c>
      <c r="D10" s="32">
        <v>12.8</v>
      </c>
      <c r="E10" s="32">
        <v>3.1</v>
      </c>
      <c r="F10" s="2"/>
    </row>
    <row r="12" spans="2:7" x14ac:dyDescent="0.35">
      <c r="B12" s="33" t="s">
        <v>210</v>
      </c>
      <c r="C12" s="34">
        <f>AVERAGE(C5:C11)</f>
        <v>20.166666666666668</v>
      </c>
      <c r="D12" s="34">
        <f>AVERAGE(D5:D11)</f>
        <v>12.799999999999999</v>
      </c>
      <c r="E12" s="34">
        <f>AVERAGE(E5:E11)</f>
        <v>3.1666666666666665</v>
      </c>
    </row>
    <row r="13" spans="2:7" x14ac:dyDescent="0.35">
      <c r="B13" s="33" t="s">
        <v>211</v>
      </c>
      <c r="C13" s="34">
        <f>MEDIAN(C5:C11)</f>
        <v>19.75</v>
      </c>
      <c r="D13" s="34">
        <f>MEDIAN(D5:D11)</f>
        <v>12.65</v>
      </c>
      <c r="E13" s="34">
        <f>MEDIAN(E5:E11)</f>
        <v>3.05</v>
      </c>
    </row>
    <row r="14" spans="2:7" x14ac:dyDescent="0.35">
      <c r="B14" s="33" t="s">
        <v>212</v>
      </c>
      <c r="C14" s="35">
        <f>MIN(C5:C11)</f>
        <v>16</v>
      </c>
      <c r="D14" s="35">
        <f>MIN(D5:D11)</f>
        <v>10</v>
      </c>
      <c r="E14" s="35">
        <f>MIN(E5:E11)</f>
        <v>2.4</v>
      </c>
    </row>
    <row r="15" spans="2:7" x14ac:dyDescent="0.35">
      <c r="B15" s="33" t="s">
        <v>213</v>
      </c>
      <c r="C15" s="35">
        <f>MAX(C5:C11)</f>
        <v>25</v>
      </c>
      <c r="D15" s="35">
        <f>MAX(D5:D11)</f>
        <v>16</v>
      </c>
      <c r="E15" s="35">
        <f>MAX(E5:E11)</f>
        <v>4.2</v>
      </c>
    </row>
    <row r="17" spans="2:6" ht="15" customHeight="1" x14ac:dyDescent="0.35">
      <c r="B17" s="43" t="s">
        <v>214</v>
      </c>
      <c r="C17" s="43"/>
      <c r="D17" s="43"/>
      <c r="E17" s="43"/>
      <c r="F17" s="43"/>
    </row>
    <row r="18" spans="2:6" ht="24" x14ac:dyDescent="0.35">
      <c r="B18" s="1" t="s">
        <v>215</v>
      </c>
      <c r="C18" s="21">
        <f>Historical!G14/Inputs!$C$6</f>
        <v>11.766666666666667</v>
      </c>
      <c r="F18" s="25" t="s">
        <v>216</v>
      </c>
    </row>
    <row r="19" spans="2:6" ht="24" x14ac:dyDescent="0.35">
      <c r="B19" s="1" t="s">
        <v>217</v>
      </c>
      <c r="C19" s="21">
        <f>Historical!G8</f>
        <v>615</v>
      </c>
      <c r="F19" s="25" t="s">
        <v>218</v>
      </c>
    </row>
    <row r="20" spans="2:6" ht="48" x14ac:dyDescent="0.35">
      <c r="B20" s="1" t="s">
        <v>219</v>
      </c>
      <c r="C20" s="8">
        <v>25</v>
      </c>
      <c r="F20" s="25" t="s">
        <v>220</v>
      </c>
    </row>
    <row r="22" spans="2:6" ht="15" customHeight="1" x14ac:dyDescent="0.35">
      <c r="B22" s="43" t="s">
        <v>221</v>
      </c>
      <c r="C22" s="43"/>
      <c r="D22" s="43"/>
      <c r="E22" s="43"/>
      <c r="F22" s="43"/>
    </row>
    <row r="23" spans="2:6" ht="24" x14ac:dyDescent="0.35">
      <c r="B23" s="7" t="s">
        <v>222</v>
      </c>
      <c r="C23" s="10">
        <f>C13*C18</f>
        <v>232.39166666666668</v>
      </c>
      <c r="F23" s="25" t="s">
        <v>223</v>
      </c>
    </row>
    <row r="24" spans="2:6" ht="36" x14ac:dyDescent="0.35">
      <c r="B24" s="1" t="s">
        <v>224</v>
      </c>
      <c r="C24" s="30">
        <f>D13*C19</f>
        <v>7779.75</v>
      </c>
      <c r="F24" s="25" t="s">
        <v>225</v>
      </c>
    </row>
    <row r="25" spans="2:6" ht="25" x14ac:dyDescent="0.35">
      <c r="B25" s="1" t="s">
        <v>226</v>
      </c>
      <c r="C25" s="21">
        <f>C24+Inputs!$C$8-Inputs!$C$7-Inputs!$C$9</f>
        <v>7179.75</v>
      </c>
      <c r="F25" s="25" t="s">
        <v>227</v>
      </c>
    </row>
    <row r="26" spans="2:6" ht="26" x14ac:dyDescent="0.35">
      <c r="B26" s="7" t="s">
        <v>228</v>
      </c>
      <c r="C26" s="10">
        <f>C25/Inputs!$C$6</f>
        <v>239.32499999999999</v>
      </c>
      <c r="F26" s="25" t="s">
        <v>229</v>
      </c>
    </row>
    <row r="27" spans="2:6" ht="24" x14ac:dyDescent="0.35">
      <c r="B27" s="7" t="s">
        <v>230</v>
      </c>
      <c r="C27" s="10">
        <f>E13*C20</f>
        <v>76.25</v>
      </c>
      <c r="F27" s="25" t="s">
        <v>231</v>
      </c>
    </row>
    <row r="28" spans="2:6" ht="24" x14ac:dyDescent="0.35">
      <c r="B28" s="7" t="s">
        <v>232</v>
      </c>
      <c r="C28" s="10">
        <f>AVERAGE(C23,C26,C27)</f>
        <v>182.65555555555557</v>
      </c>
      <c r="F28" s="25" t="s">
        <v>233</v>
      </c>
    </row>
  </sheetData>
  <mergeCells count="3">
    <mergeCell ref="B2:G2"/>
    <mergeCell ref="B17:F17"/>
    <mergeCell ref="B22:F22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6"/>
  <sheetViews>
    <sheetView showGridLines="0" zoomScaleNormal="100" workbookViewId="0">
      <selection activeCell="D1" sqref="D1"/>
    </sheetView>
  </sheetViews>
  <sheetFormatPr defaultColWidth="8.6328125" defaultRowHeight="14.5" x14ac:dyDescent="0.35"/>
  <cols>
    <col min="1" max="1" width="2" customWidth="1"/>
    <col min="2" max="2" width="38" customWidth="1"/>
    <col min="3" max="5" width="18" customWidth="1"/>
    <col min="6" max="6" width="30" customWidth="1"/>
  </cols>
  <sheetData>
    <row r="2" spans="2:6" ht="24" customHeight="1" x14ac:dyDescent="0.35">
      <c r="B2" s="42" t="s">
        <v>234</v>
      </c>
      <c r="C2" s="42"/>
      <c r="D2" s="42"/>
      <c r="E2" s="42"/>
      <c r="F2" s="42"/>
    </row>
    <row r="4" spans="2:6" ht="15" customHeight="1" x14ac:dyDescent="0.35">
      <c r="B4" s="43" t="s">
        <v>235</v>
      </c>
      <c r="C4" s="43"/>
      <c r="D4" s="43"/>
      <c r="E4" s="43"/>
      <c r="F4" s="43"/>
    </row>
    <row r="5" spans="2:6" x14ac:dyDescent="0.35">
      <c r="B5" s="7" t="s">
        <v>185</v>
      </c>
      <c r="C5" s="18">
        <f>Inputs!$C$5</f>
        <v>150</v>
      </c>
      <c r="F5" s="25" t="s">
        <v>236</v>
      </c>
    </row>
    <row r="6" spans="2:6" x14ac:dyDescent="0.35">
      <c r="B6" s="7" t="s">
        <v>237</v>
      </c>
      <c r="C6" s="36">
        <f>DCF!$C$20</f>
        <v>178.37413248873435</v>
      </c>
      <c r="F6" s="25" t="s">
        <v>238</v>
      </c>
    </row>
    <row r="7" spans="2:6" x14ac:dyDescent="0.35">
      <c r="B7" s="7" t="s">
        <v>239</v>
      </c>
      <c r="C7" s="37">
        <f>IFERROR(C6/C5-1,0)</f>
        <v>0.189160883258229</v>
      </c>
      <c r="F7" s="25" t="s">
        <v>240</v>
      </c>
    </row>
    <row r="9" spans="2:6" ht="15" customHeight="1" x14ac:dyDescent="0.35">
      <c r="B9" s="43" t="s">
        <v>241</v>
      </c>
      <c r="C9" s="43"/>
      <c r="D9" s="43"/>
      <c r="E9" s="43"/>
      <c r="F9" s="43"/>
    </row>
    <row r="10" spans="2:6" x14ac:dyDescent="0.35">
      <c r="B10" s="13" t="s">
        <v>242</v>
      </c>
      <c r="C10" s="13" t="s">
        <v>243</v>
      </c>
      <c r="D10" s="13" t="s">
        <v>244</v>
      </c>
      <c r="E10" s="13" t="s">
        <v>245</v>
      </c>
    </row>
    <row r="11" spans="2:6" x14ac:dyDescent="0.35">
      <c r="B11" s="7" t="s">
        <v>246</v>
      </c>
      <c r="C11" s="21">
        <f>MIN(Sensitivity!$C$5:$H$11)</f>
        <v>113.84677914834798</v>
      </c>
      <c r="D11" s="18">
        <f>DCF!$C$20</f>
        <v>178.37413248873435</v>
      </c>
      <c r="E11" s="21">
        <f>MAX(Sensitivity!$C$5:$H$11)</f>
        <v>443.89632362335556</v>
      </c>
    </row>
    <row r="12" spans="2:6" x14ac:dyDescent="0.35">
      <c r="B12" s="7" t="s">
        <v>247</v>
      </c>
      <c r="C12" s="21">
        <f>'Relative Val'!$C$23*0.85</f>
        <v>197.53291666666667</v>
      </c>
      <c r="D12" s="18">
        <f>'Relative Val'!$C$23</f>
        <v>232.39166666666668</v>
      </c>
      <c r="E12" s="21">
        <f>'Relative Val'!$C$23*1.15</f>
        <v>267.25041666666664</v>
      </c>
    </row>
    <row r="13" spans="2:6" x14ac:dyDescent="0.35">
      <c r="B13" s="7" t="s">
        <v>248</v>
      </c>
      <c r="C13" s="21">
        <f>'Relative Val'!$C$26*0.85</f>
        <v>203.42624999999998</v>
      </c>
      <c r="D13" s="18">
        <f>'Relative Val'!$C$26</f>
        <v>239.32499999999999</v>
      </c>
      <c r="E13" s="21">
        <f>'Relative Val'!$C$26*1.15</f>
        <v>275.22374999999994</v>
      </c>
    </row>
    <row r="14" spans="2:6" x14ac:dyDescent="0.35">
      <c r="B14" s="7" t="s">
        <v>249</v>
      </c>
      <c r="C14" s="21">
        <f>'Relative Val'!$C$27*0.85</f>
        <v>64.8125</v>
      </c>
      <c r="D14" s="18">
        <f>'Relative Val'!$C$27</f>
        <v>76.25</v>
      </c>
      <c r="E14" s="21">
        <f>'Relative Val'!$C$27*1.15</f>
        <v>87.6875</v>
      </c>
    </row>
    <row r="15" spans="2:6" x14ac:dyDescent="0.35">
      <c r="B15" s="7" t="s">
        <v>250</v>
      </c>
      <c r="C15" s="21">
        <f>Inputs!$C$11</f>
        <v>110</v>
      </c>
      <c r="D15" s="18">
        <f>(Inputs!$C$10+Inputs!$C$11)/2</f>
        <v>145</v>
      </c>
      <c r="E15" s="21">
        <f>Inputs!$C$10</f>
        <v>180</v>
      </c>
    </row>
    <row r="17" spans="2:6" ht="15" customHeight="1" x14ac:dyDescent="0.35">
      <c r="B17" s="43" t="s">
        <v>251</v>
      </c>
      <c r="C17" s="43"/>
      <c r="D17" s="43"/>
      <c r="E17" s="43"/>
      <c r="F17" s="43"/>
    </row>
    <row r="18" spans="2:6" x14ac:dyDescent="0.35">
      <c r="B18" s="44" t="s">
        <v>252</v>
      </c>
      <c r="C18" s="44"/>
      <c r="D18" s="44"/>
      <c r="E18" s="44"/>
      <c r="F18" s="44"/>
    </row>
    <row r="19" spans="2:6" x14ac:dyDescent="0.35">
      <c r="B19" s="39" t="s">
        <v>253</v>
      </c>
      <c r="C19" s="39"/>
      <c r="D19" s="39"/>
      <c r="E19" s="39"/>
      <c r="F19" s="39"/>
    </row>
    <row r="20" spans="2:6" x14ac:dyDescent="0.35">
      <c r="B20" s="40" t="s">
        <v>254</v>
      </c>
      <c r="C20" s="40"/>
      <c r="D20" s="40"/>
      <c r="E20" s="40"/>
      <c r="F20" s="40"/>
    </row>
    <row r="22" spans="2:6" ht="15.5" x14ac:dyDescent="0.35">
      <c r="B22" s="31" t="s">
        <v>255</v>
      </c>
      <c r="C22" s="38" t="str">
        <f>IF(C7&gt;0.15,"BUY",IF(C7&lt;-0.1,"SELL","HOLD"))</f>
        <v>BUY</v>
      </c>
    </row>
    <row r="24" spans="2:6" ht="15" customHeight="1" x14ac:dyDescent="0.35">
      <c r="B24" s="41" t="s">
        <v>256</v>
      </c>
      <c r="C24" s="41"/>
      <c r="D24" s="41"/>
      <c r="E24" s="41"/>
      <c r="F24" s="41"/>
    </row>
    <row r="25" spans="2:6" x14ac:dyDescent="0.35">
      <c r="B25" s="41"/>
      <c r="C25" s="41"/>
      <c r="D25" s="41"/>
      <c r="E25" s="41"/>
      <c r="F25" s="41"/>
    </row>
    <row r="26" spans="2:6" x14ac:dyDescent="0.35">
      <c r="B26" s="41"/>
      <c r="C26" s="41"/>
      <c r="D26" s="41"/>
      <c r="E26" s="41"/>
      <c r="F26" s="41"/>
    </row>
  </sheetData>
  <mergeCells count="8">
    <mergeCell ref="B19:F19"/>
    <mergeCell ref="B20:F20"/>
    <mergeCell ref="B24:F26"/>
    <mergeCell ref="B2:F2"/>
    <mergeCell ref="B4:F4"/>
    <mergeCell ref="B9:F9"/>
    <mergeCell ref="B17:F17"/>
    <mergeCell ref="B18:F1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Inputs</vt:lpstr>
      <vt:lpstr>Historical</vt:lpstr>
      <vt:lpstr>Projections</vt:lpstr>
      <vt:lpstr>WACC</vt:lpstr>
      <vt:lpstr>DCF</vt:lpstr>
      <vt:lpstr>Sensitivity</vt:lpstr>
      <vt:lpstr>Relative Val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Parvesh Aghi</cp:lastModifiedBy>
  <cp:revision>0</cp:revision>
  <dcterms:created xsi:type="dcterms:W3CDTF">2026-04-30T04:17:27Z</dcterms:created>
  <dcterms:modified xsi:type="dcterms:W3CDTF">2026-04-30T05:21:16Z</dcterms:modified>
  <dc:language>en-US</dc:language>
</cp:coreProperties>
</file>